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VV" sheetId="1" r:id="rId1"/>
    <sheet name="Stavební rozpočet - součet" sheetId="2" r:id="rId2"/>
    <sheet name="Harmonogram" sheetId="3" r:id="rId3"/>
    <sheet name="Čerpání rozpočtu" sheetId="4" r:id="rId4"/>
    <sheet name="Krycí list rozpočtu" sheetId="5" r:id="rId5"/>
  </sheets>
  <definedNames/>
  <calcPr fullCalcOnLoad="1"/>
</workbook>
</file>

<file path=xl/sharedStrings.xml><?xml version="1.0" encoding="utf-8"?>
<sst xmlns="http://schemas.openxmlformats.org/spreadsheetml/2006/main" count="699" uniqueCount="282">
  <si>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</si>
  <si>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</si>
  <si>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</si>
  <si>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</si>
  <si>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</si>
  <si>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</si>
  <si>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</si>
  <si>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</si>
  <si>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</si>
  <si>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</si>
  <si>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</si>
  <si>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</si>
  <si>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</si>
  <si>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</si>
  <si>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</si>
  <si>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</si>
  <si>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</si>
  <si>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</si>
  <si>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</si>
  <si>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</si>
  <si>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</si>
  <si>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</si>
  <si>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</si>
  <si>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</si>
  <si>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</si>
  <si>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</si>
  <si>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</si>
  <si>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</si>
  <si>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</si>
  <si>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</si>
  <si>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</si>
  <si>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</si>
  <si>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</si>
  <si>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</si>
  <si>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</si>
  <si>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</si>
  <si>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</si>
  <si>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</si>
  <si>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</si>
  <si>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</si>
  <si>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</si>
  <si>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</si>
  <si>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</si>
  <si>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</si>
  <si>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</si>
  <si>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</si>
  <si>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</si>
  <si>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</si>
  <si>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</si>
  <si>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</si>
  <si>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</si>
  <si>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</si>
  <si>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</si>
  <si>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</si>
  <si>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</si>
  <si>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</si>
  <si>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Objekt</t>
  </si>
  <si>
    <t>Kód</t>
  </si>
  <si>
    <t>132301201R00</t>
  </si>
  <si>
    <t>151101101R00</t>
  </si>
  <si>
    <t>151101111R00</t>
  </si>
  <si>
    <t>161101101R00</t>
  </si>
  <si>
    <t>162601102R14</t>
  </si>
  <si>
    <t>167101101R00</t>
  </si>
  <si>
    <t>171204111R00</t>
  </si>
  <si>
    <t>174101101R00</t>
  </si>
  <si>
    <t>57</t>
  </si>
  <si>
    <t>572952112R00</t>
  </si>
  <si>
    <t>574391111R00</t>
  </si>
  <si>
    <t>721</t>
  </si>
  <si>
    <t>721176102R00</t>
  </si>
  <si>
    <t>721176103R00</t>
  </si>
  <si>
    <t>721176104R00</t>
  </si>
  <si>
    <t>721176105R00</t>
  </si>
  <si>
    <t>721176222R00</t>
  </si>
  <si>
    <t>721176223R00</t>
  </si>
  <si>
    <t>721194105R00</t>
  </si>
  <si>
    <t>721194109R00</t>
  </si>
  <si>
    <t>721211502R00</t>
  </si>
  <si>
    <t>721263002RT2</t>
  </si>
  <si>
    <t>721273145RM2</t>
  </si>
  <si>
    <t>721290111R00</t>
  </si>
  <si>
    <t>721290123R00</t>
  </si>
  <si>
    <t>722</t>
  </si>
  <si>
    <t>722171214R00</t>
  </si>
  <si>
    <t>722171216R00</t>
  </si>
  <si>
    <t>722174313R00</t>
  </si>
  <si>
    <t>722174314R00</t>
  </si>
  <si>
    <t>722181225RU1</t>
  </si>
  <si>
    <t>722181225RU4</t>
  </si>
  <si>
    <t>722190403R00</t>
  </si>
  <si>
    <t>722212113R00</t>
  </si>
  <si>
    <t>722215114R00</t>
  </si>
  <si>
    <t>722215116R00</t>
  </si>
  <si>
    <t>722235112R00</t>
  </si>
  <si>
    <t>722235113R00</t>
  </si>
  <si>
    <t>722235654R00</t>
  </si>
  <si>
    <t>722235656R00</t>
  </si>
  <si>
    <t>722263151R00</t>
  </si>
  <si>
    <t>722290226R00</t>
  </si>
  <si>
    <t>722290234R00</t>
  </si>
  <si>
    <t>724</t>
  </si>
  <si>
    <t>724131111R00</t>
  </si>
  <si>
    <t>724131112R00</t>
  </si>
  <si>
    <t>724131113R00</t>
  </si>
  <si>
    <t>89</t>
  </si>
  <si>
    <t>899623111R00</t>
  </si>
  <si>
    <t>90</t>
  </si>
  <si>
    <t>900      R01</t>
  </si>
  <si>
    <t>91</t>
  </si>
  <si>
    <t>919726111R00</t>
  </si>
  <si>
    <t>H27</t>
  </si>
  <si>
    <t>998276101R00</t>
  </si>
  <si>
    <t>H721</t>
  </si>
  <si>
    <t>998721101R00</t>
  </si>
  <si>
    <t>H722</t>
  </si>
  <si>
    <t>998722101R00</t>
  </si>
  <si>
    <t>H724</t>
  </si>
  <si>
    <t>998724101R00</t>
  </si>
  <si>
    <t>SO-01 Nová garáž pro rolbu</t>
  </si>
  <si>
    <t>Zdravotní instalace</t>
  </si>
  <si>
    <t>Český Krumlov</t>
  </si>
  <si>
    <t>Zkrácený popis</t>
  </si>
  <si>
    <t>Hloubené vykopávky</t>
  </si>
  <si>
    <t>Hloubení rýh šířky do 200 cm v hor.4 do 100 m3</t>
  </si>
  <si>
    <t>Roubení</t>
  </si>
  <si>
    <t>Pažení a rozepření stěn rýh - příložné - hl. do 2m</t>
  </si>
  <si>
    <t>Odstranění paženi stěn rýh - příložné - hl. do 2 m</t>
  </si>
  <si>
    <t>Přemístění výkopku</t>
  </si>
  <si>
    <t>Svislé přemístění výkopku z hor.1-4 do 2,5 m</t>
  </si>
  <si>
    <t>Vodorovné přemístění výkopku z hor.1-4 do 5000 m</t>
  </si>
  <si>
    <t>Nakládání výkopku z hor.1-4 v množství do 100 m3</t>
  </si>
  <si>
    <t>Konstrukce ze zemin</t>
  </si>
  <si>
    <t>Ulozeni sypaniny bez zhut na skl</t>
  </si>
  <si>
    <t>Zásyp jam, rýh, šachet se zhutněním</t>
  </si>
  <si>
    <t>Kryty štěrkových a živičných pozemních komunikací a zpevněných ploch</t>
  </si>
  <si>
    <t>Vyspravení krytu po překopu asf.betonem tl.do 7 cm</t>
  </si>
  <si>
    <t>Makadam penetr.hrubý, kamen.hrubé z asfaltu, 10 cm</t>
  </si>
  <si>
    <t>Vnitřní kanalizace</t>
  </si>
  <si>
    <t>Potrubí HT připojovací DN 40 x 1,8 mm</t>
  </si>
  <si>
    <t>Potrubí HT připojovací DN 50 x 1,8 mm</t>
  </si>
  <si>
    <t>Potrubí HT připojovací DN 70 x 1,9 mm</t>
  </si>
  <si>
    <t>Potrubí HT připojovací DN 100 x 2,7 mm</t>
  </si>
  <si>
    <t>Potrubí KG svodné (ležaté) v zemi DN 100 x 3,2 mm</t>
  </si>
  <si>
    <t>Potrubí KG svodné (ležaté) v zemi DN 125 x 3,2 mm</t>
  </si>
  <si>
    <t>Vyvedení odpadních výpustek D 50 x 1,8</t>
  </si>
  <si>
    <t>Vyvedení odpadních výpustek D 110 x 2,3</t>
  </si>
  <si>
    <t>Vpusť podlahová Geberit Varino d 110 mm</t>
  </si>
  <si>
    <t>Uzávěr zpětný automatický HL s ručním zajištěním</t>
  </si>
  <si>
    <t>Hlavice ventilační z PVC  DN 100/930</t>
  </si>
  <si>
    <t>Zkouška těsnosti kanalizace vodou DN 125</t>
  </si>
  <si>
    <t>Zkouška těsnosti kanalizace kouřem DN 300</t>
  </si>
  <si>
    <t>Vnitřní vodovod</t>
  </si>
  <si>
    <t>Potrubí z rPE, D 40/5,5 mm</t>
  </si>
  <si>
    <t>Potrubí z rPE, D 63/6,7 mm</t>
  </si>
  <si>
    <t>Potrubí z PP-R 80 PN 20, DN 32</t>
  </si>
  <si>
    <t>Potrubí z PP-R 80 PN 20, DN 40</t>
  </si>
  <si>
    <t>Izolace návleková MIRELON POLAR tl. stěny 25 mm</t>
  </si>
  <si>
    <t>Vyvedení a upevnění výpustek DN 25</t>
  </si>
  <si>
    <t>Šoupátka PN 1,0,S-20-118-610,+ zemní spr.,DN 65</t>
  </si>
  <si>
    <t>Kohout kulový uzav.IVAR BRA.02.000 DN 32 s nav.pří</t>
  </si>
  <si>
    <t>Kohout kulový uzav.IVAR BRA.02.000 DN 50 s nav.pří</t>
  </si>
  <si>
    <t>Kohout kulový, vnitř.-vnitř.z. IVAR PERFECTA DN 20</t>
  </si>
  <si>
    <t>Kohout kulový, vnitř.-vnitř.z. IVAR PERFECTA DN 25</t>
  </si>
  <si>
    <t>Ventil zpětný EURA-SPRINT, IVAR.CIM 30 VA DN 32</t>
  </si>
  <si>
    <t>Ventil zpětný EURA-SPRINT, IVAR.CIM 30 VA DN 50</t>
  </si>
  <si>
    <t>Vodoměry do 30°C,  šroub. DN 40, R/3</t>
  </si>
  <si>
    <t>Zkouška tlaku potrubí vodovodního DN 50</t>
  </si>
  <si>
    <t>Proplach a dezinfekce vodovod.potrubí DN 50</t>
  </si>
  <si>
    <t>Strojní vybavení</t>
  </si>
  <si>
    <t>Akumulační nádrž 1,5 m3</t>
  </si>
  <si>
    <t>Domácí vodárna WILO HMC 605</t>
  </si>
  <si>
    <t>Plovákové spínací zařízení</t>
  </si>
  <si>
    <t>Ostatní konstrukce a práce na trubním vedení</t>
  </si>
  <si>
    <t>Pískové lože pro potrub</t>
  </si>
  <si>
    <t>Hodinové zúčtovací sazby (HZS)</t>
  </si>
  <si>
    <t>Práce bourací a pomocné</t>
  </si>
  <si>
    <t>Doplňující konstrukce a práce na pozemních komunikacích a zpevněných plochách</t>
  </si>
  <si>
    <t>Řezání spár</t>
  </si>
  <si>
    <t>Vedení trubní dálková a přípojná</t>
  </si>
  <si>
    <t>Přesun hmot, trubní vedení plastová, otevř. výkop</t>
  </si>
  <si>
    <t>Přesun hmot pro vnitřní kanalizaci, výšky do 6 m</t>
  </si>
  <si>
    <t>Přesun hmot pro vnitřní vodovod, výšky do 6 m</t>
  </si>
  <si>
    <t>Přesun hmot pro strojní vybavení, výšky do 6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</si>
  <si>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</si>
  <si>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</si>
  <si>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</si>
  <si>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</si>
  <si>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</si>
  <si>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</si>
  <si>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</si>
  <si>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</si>
  <si>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kus</t>
  </si>
  <si>
    <t>soubor</t>
  </si>
  <si>
    <t>ks</t>
  </si>
  <si>
    <t>h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</si>
  <si>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</si>
  <si>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</si>
  <si>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</si>
  <si>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</si>
  <si>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</si>
  <si>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</si>
  <si>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</si>
  <si>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</si>
  <si>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</si>
  <si>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</si>
  <si>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</si>
  <si>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</si>
  <si>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</si>
  <si>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</si>
  <si>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</si>
  <si>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</si>
  <si>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</si>
  <si>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</si>
  <si>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</si>
  <si>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</si>
  <si>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</si>
  <si>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</si>
  <si>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</si>
  <si>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</si>
  <si>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</si>
  <si>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</si>
  <si>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</si>
  <si>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</si>
  <si>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</si>
  <si>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</si>
  <si>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</si>
  <si>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</si>
  <si>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</si>
  <si>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</si>
  <si>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</si>
  <si>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</si>
  <si>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</si>
  <si>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</si>
  <si>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</si>
  <si>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</si>
  <si>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</si>
  <si>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</si>
  <si>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</si>
  <si>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</si>
  <si>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</si>
  <si>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</si>
  <si>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</si>
  <si>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</si>
  <si>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</si>
  <si>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</si>
  <si>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</si>
  <si>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</si>
  <si>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</si>
  <si>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</si>
  <si>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14%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</si>
  <si>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</si>
  <si>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</si>
  <si>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</si>
  <si>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</si>
  <si>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</si>
  <si>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</si>
  <si>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</si>
  <si>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</si>
  <si>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</si>
  <si>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</si>
  <si>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14%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</si>
  <si>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</si>
  <si>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</si>
  <si>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</si>
  <si>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</si>
  <si>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</si>
  <si>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</si>
  <si>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</si>
  <si>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</si>
  <si>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</si>
  <si>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</si>
  <si>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</si>
  <si>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</si>
  <si>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</si>
  <si>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</si>
  <si>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</si>
  <si>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</si>
  <si>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</si>
  <si>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</si>
  <si>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rozpočet</t>
  </si>
  <si>
    <t>;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</si>
</sst>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7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6" fillId="2" borderId="1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8" fillId="0" borderId="19" xfId="0" applyNumberFormat="1" applyFont="1" applyFill="1" applyBorder="1" applyAlignment="1" applyProtection="1">
      <alignment horizontal="right" vertical="center"/>
      <protection/>
    </xf>
    <xf numFmtId="49" fontId="8" fillId="0" borderId="19" xfId="0" applyNumberFormat="1" applyFont="1" applyFill="1" applyBorder="1" applyAlignment="1" applyProtection="1">
      <alignment horizontal="right" vertical="center"/>
      <protection/>
    </xf>
    <xf numFmtId="4" fontId="7" fillId="2" borderId="25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  <xf numFmtId="49" fontId="7" fillId="2" borderId="38" xfId="0" applyNumberFormat="1" applyFont="1" applyFill="1" applyBorder="1" applyAlignment="1" applyProtection="1">
      <alignment horizontal="left" vertical="center"/>
      <protection/>
    </xf>
    <xf numFmtId="0" fontId="7" fillId="2" borderId="22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workbookViewId="0" topLeftCell="C55">
      <selection activeCell="I76" sqref="I76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55" t="s">
        <v>280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2.75">
      <c r="A2" s="57" t="s">
        <v>0</v>
      </c>
      <c r="B2" s="53"/>
      <c r="C2" s="53"/>
      <c r="D2" s="64" t="s">
        <v>119</v>
      </c>
      <c r="E2" s="60" t="s">
        <v>184</v>
      </c>
      <c r="F2" s="53"/>
      <c r="G2" s="60"/>
      <c r="H2" s="53"/>
      <c r="I2" s="60" t="s">
        <v>203</v>
      </c>
      <c r="J2" s="60"/>
      <c r="K2" s="53"/>
      <c r="L2" s="67"/>
      <c r="M2" s="23"/>
    </row>
    <row r="3" spans="1:13" ht="12.75">
      <c r="A3" s="54"/>
      <c r="B3" s="58"/>
      <c r="C3" s="58"/>
      <c r="D3" s="65"/>
      <c r="E3" s="58"/>
      <c r="F3" s="58"/>
      <c r="G3" s="58"/>
      <c r="H3" s="58"/>
      <c r="I3" s="58"/>
      <c r="J3" s="58"/>
      <c r="K3" s="58"/>
      <c r="L3" s="68"/>
      <c r="M3" s="23"/>
    </row>
    <row r="4" spans="1:13" ht="12.75">
      <c r="A4" s="59" t="s">
        <v>1</v>
      </c>
      <c r="B4" s="58"/>
      <c r="C4" s="58"/>
      <c r="D4" s="61" t="s">
        <v>120</v>
      </c>
      <c r="E4" s="61" t="s">
        <v>185</v>
      </c>
      <c r="F4" s="58"/>
      <c r="G4" s="66">
        <v>41164</v>
      </c>
      <c r="H4" s="58"/>
      <c r="I4" s="61" t="s">
        <v>204</v>
      </c>
      <c r="J4" s="61"/>
      <c r="K4" s="58"/>
      <c r="L4" s="68"/>
      <c r="M4" s="23"/>
    </row>
    <row r="5" spans="1:13" ht="12.75">
      <c r="A5" s="54"/>
      <c r="B5" s="58"/>
      <c r="C5" s="58"/>
      <c r="D5" s="58"/>
      <c r="E5" s="58"/>
      <c r="F5" s="58"/>
      <c r="G5" s="58"/>
      <c r="H5" s="58"/>
      <c r="I5" s="58"/>
      <c r="J5" s="58"/>
      <c r="K5" s="58"/>
      <c r="L5" s="68"/>
      <c r="M5" s="23"/>
    </row>
    <row r="6" spans="1:13" ht="12.75">
      <c r="A6" s="59" t="s">
        <v>2</v>
      </c>
      <c r="B6" s="58"/>
      <c r="C6" s="58"/>
      <c r="D6" s="61" t="s">
        <v>121</v>
      </c>
      <c r="E6" s="61" t="s">
        <v>186</v>
      </c>
      <c r="F6" s="58"/>
      <c r="G6" s="58"/>
      <c r="H6" s="58"/>
      <c r="I6" s="61" t="s">
        <v>205</v>
      </c>
      <c r="J6" s="61"/>
      <c r="K6" s="58"/>
      <c r="L6" s="68"/>
      <c r="M6" s="23"/>
    </row>
    <row r="7" spans="1:13" ht="12.75">
      <c r="A7" s="54"/>
      <c r="B7" s="58"/>
      <c r="C7" s="58"/>
      <c r="D7" s="58"/>
      <c r="E7" s="58"/>
      <c r="F7" s="58"/>
      <c r="G7" s="58"/>
      <c r="H7" s="58"/>
      <c r="I7" s="58"/>
      <c r="J7" s="58"/>
      <c r="K7" s="58"/>
      <c r="L7" s="68"/>
      <c r="M7" s="23"/>
    </row>
    <row r="8" spans="1:13" ht="12.75">
      <c r="A8" s="59" t="s">
        <v>3</v>
      </c>
      <c r="B8" s="58"/>
      <c r="C8" s="58"/>
      <c r="D8" s="61"/>
      <c r="E8" s="61" t="s">
        <v>187</v>
      </c>
      <c r="F8" s="58"/>
      <c r="G8" s="66">
        <v>41164</v>
      </c>
      <c r="H8" s="58"/>
      <c r="I8" s="61" t="s">
        <v>206</v>
      </c>
      <c r="J8" s="61"/>
      <c r="K8" s="58"/>
      <c r="L8" s="68"/>
      <c r="M8" s="23"/>
    </row>
    <row r="9" spans="1:13" ht="12.7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9"/>
      <c r="M9" s="23"/>
    </row>
    <row r="10" spans="1:13" ht="12.75">
      <c r="A10" s="2" t="s">
        <v>4</v>
      </c>
      <c r="B10" s="9" t="s">
        <v>4</v>
      </c>
      <c r="C10" s="9" t="s">
        <v>4</v>
      </c>
      <c r="D10" s="9" t="s">
        <v>4</v>
      </c>
      <c r="E10" s="9" t="s">
        <v>4</v>
      </c>
      <c r="F10" s="9" t="s">
        <v>4</v>
      </c>
      <c r="G10" s="16" t="s">
        <v>198</v>
      </c>
      <c r="H10" s="70" t="s">
        <v>200</v>
      </c>
      <c r="I10" s="71"/>
      <c r="J10" s="72"/>
      <c r="K10" s="70" t="s">
        <v>209</v>
      </c>
      <c r="L10" s="72"/>
      <c r="M10" s="24"/>
    </row>
    <row r="11" spans="1:24" ht="12.75">
      <c r="A11" s="3" t="s">
        <v>5</v>
      </c>
      <c r="B11" s="10" t="s">
        <v>56</v>
      </c>
      <c r="C11" s="10" t="s">
        <v>57</v>
      </c>
      <c r="D11" s="10" t="s">
        <v>122</v>
      </c>
      <c r="E11" s="10" t="s">
        <v>188</v>
      </c>
      <c r="F11" s="13" t="s">
        <v>197</v>
      </c>
      <c r="G11" s="17" t="s">
        <v>199</v>
      </c>
      <c r="H11" s="18" t="s">
        <v>201</v>
      </c>
      <c r="I11" s="19" t="s">
        <v>207</v>
      </c>
      <c r="J11" s="20" t="s">
        <v>208</v>
      </c>
      <c r="K11" s="18" t="s">
        <v>198</v>
      </c>
      <c r="L11" s="20" t="s">
        <v>208</v>
      </c>
      <c r="M11" s="24"/>
      <c r="P11" s="22" t="s">
        <v>210</v>
      </c>
      <c r="Q11" s="22" t="s">
        <v>211</v>
      </c>
      <c r="R11" s="22" t="s">
        <v>215</v>
      </c>
      <c r="S11" s="22" t="s">
        <v>216</v>
      </c>
      <c r="T11" s="22" t="s">
        <v>217</v>
      </c>
      <c r="U11" s="22" t="s">
        <v>218</v>
      </c>
      <c r="V11" s="22" t="s">
        <v>219</v>
      </c>
      <c r="W11" s="22" t="s">
        <v>220</v>
      </c>
      <c r="X11" s="22" t="s">
        <v>221</v>
      </c>
    </row>
    <row r="12" spans="1:37" ht="12.75">
      <c r="A12" s="4"/>
      <c r="B12" s="4"/>
      <c r="C12" s="11" t="s">
        <v>18</v>
      </c>
      <c r="D12" s="73" t="s">
        <v>123</v>
      </c>
      <c r="E12" s="74"/>
      <c r="F12" s="74"/>
      <c r="G12" s="74"/>
      <c r="H12" s="26">
        <f>SUM(H13:H13)</f>
        <v>0</v>
      </c>
      <c r="I12" s="26">
        <f>SUM(I13:I13)</f>
        <v>0</v>
      </c>
      <c r="J12" s="26">
        <f>H12+I12</f>
        <v>0</v>
      </c>
      <c r="K12" s="21"/>
      <c r="L12" s="26">
        <f>SUM(L13:L13)</f>
        <v>0</v>
      </c>
      <c r="P12" s="27">
        <f>IF(Q12="PR",J12,SUM(O13:O13))</f>
        <v>0</v>
      </c>
      <c r="Q12" s="22" t="s">
        <v>212</v>
      </c>
      <c r="R12" s="27">
        <f>IF(Q12="HS",H12,0)</f>
        <v>0</v>
      </c>
      <c r="S12" s="27">
        <f>IF(Q12="HS",I12-P12,0)</f>
        <v>0</v>
      </c>
      <c r="T12" s="27">
        <f>IF(Q12="PS",H12,0)</f>
        <v>0</v>
      </c>
      <c r="U12" s="27">
        <f>IF(Q12="PS",I12-P12,0)</f>
        <v>0</v>
      </c>
      <c r="V12" s="27">
        <f>IF(Q12="MP",H12,0)</f>
        <v>0</v>
      </c>
      <c r="W12" s="27">
        <f>IF(Q12="MP",I12-P12,0)</f>
        <v>0</v>
      </c>
      <c r="X12" s="27">
        <f>IF(Q12="OM",H12,0)</f>
        <v>0</v>
      </c>
      <c r="Y12" s="22"/>
      <c r="AI12" s="27">
        <f>SUM(Z13:Z13)</f>
        <v>0</v>
      </c>
      <c r="AJ12" s="27">
        <f>SUM(AA13:AA13)</f>
        <v>0</v>
      </c>
      <c r="AK12" s="27">
        <f>SUM(AB13:AB13)</f>
        <v>0</v>
      </c>
    </row>
    <row r="13" spans="1:32" ht="12.75">
      <c r="A13" s="5" t="s">
        <v>6</v>
      </c>
      <c r="B13" s="5"/>
      <c r="C13" s="5" t="s">
        <v>58</v>
      </c>
      <c r="D13" s="5" t="s">
        <v>124</v>
      </c>
      <c r="E13" s="5" t="s">
        <v>189</v>
      </c>
      <c r="F13" s="14">
        <v>90</v>
      </c>
      <c r="G13" s="14">
        <v>0</v>
      </c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5" t="s">
        <v>6</v>
      </c>
      <c r="O13" s="14">
        <f>IF(N13="5",I13,0)</f>
        <v>0</v>
      </c>
      <c r="Z13" s="14">
        <f>IF(AD13=0,J13,0)</f>
        <v>0</v>
      </c>
      <c r="AA13" s="14">
        <f>IF(AD13=14,J13,0)</f>
        <v>0</v>
      </c>
      <c r="AB13" s="14">
        <f>IF(AD13=20,J13,0)</f>
        <v>0</v>
      </c>
      <c r="AD13" s="14">
        <v>20</v>
      </c>
      <c r="AE13" s="14">
        <f>G13*0</f>
        <v>0</v>
      </c>
      <c r="AF13" s="14">
        <f>G13*(1-0)</f>
        <v>0</v>
      </c>
    </row>
    <row r="14" spans="1:37" ht="12.75">
      <c r="A14" s="6"/>
      <c r="B14" s="6"/>
      <c r="C14" s="12" t="s">
        <v>20</v>
      </c>
      <c r="D14" s="75" t="s">
        <v>125</v>
      </c>
      <c r="E14" s="76"/>
      <c r="F14" s="76"/>
      <c r="G14" s="76"/>
      <c r="H14" s="27">
        <f>SUM(H15:H16)</f>
        <v>0</v>
      </c>
      <c r="I14" s="27">
        <f>SUM(I15:I16)</f>
        <v>0</v>
      </c>
      <c r="J14" s="27">
        <f>H14+I14</f>
        <v>0</v>
      </c>
      <c r="K14" s="22"/>
      <c r="L14" s="27">
        <f>SUM(L15:L16)</f>
        <v>0.1782</v>
      </c>
      <c r="P14" s="27">
        <f>IF(Q14="PR",J14,SUM(O15:O16))</f>
        <v>0</v>
      </c>
      <c r="Q14" s="22" t="s">
        <v>212</v>
      </c>
      <c r="R14" s="27">
        <f>IF(Q14="HS",H14,0)</f>
        <v>0</v>
      </c>
      <c r="S14" s="27">
        <f>IF(Q14="HS",I14-P14,0)</f>
        <v>0</v>
      </c>
      <c r="T14" s="27">
        <f>IF(Q14="PS",H14,0)</f>
        <v>0</v>
      </c>
      <c r="U14" s="27">
        <f>IF(Q14="PS",I14-P14,0)</f>
        <v>0</v>
      </c>
      <c r="V14" s="27">
        <f>IF(Q14="MP",H14,0)</f>
        <v>0</v>
      </c>
      <c r="W14" s="27">
        <f>IF(Q14="MP",I14-P14,0)</f>
        <v>0</v>
      </c>
      <c r="X14" s="27">
        <f>IF(Q14="OM",H14,0)</f>
        <v>0</v>
      </c>
      <c r="Y14" s="22"/>
      <c r="AI14" s="27">
        <f>SUM(Z15:Z16)</f>
        <v>0</v>
      </c>
      <c r="AJ14" s="27">
        <f>SUM(AA15:AA16)</f>
        <v>0</v>
      </c>
      <c r="AK14" s="27">
        <f>SUM(AB15:AB16)</f>
        <v>0</v>
      </c>
    </row>
    <row r="15" spans="1:32" ht="12.75">
      <c r="A15" s="5" t="s">
        <v>7</v>
      </c>
      <c r="B15" s="5"/>
      <c r="C15" s="5" t="s">
        <v>59</v>
      </c>
      <c r="D15" s="5" t="s">
        <v>126</v>
      </c>
      <c r="E15" s="5" t="s">
        <v>190</v>
      </c>
      <c r="F15" s="14">
        <v>180</v>
      </c>
      <c r="G15" s="14">
        <v>0</v>
      </c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0.00099</v>
      </c>
      <c r="L15" s="14">
        <f>F15*K15</f>
        <v>0.1782</v>
      </c>
      <c r="N15" s="25" t="s">
        <v>6</v>
      </c>
      <c r="O15" s="14">
        <f>IF(N15="5",I15,0)</f>
        <v>0</v>
      </c>
      <c r="Z15" s="14">
        <f>IF(AD15=0,J15,0)</f>
        <v>0</v>
      </c>
      <c r="AA15" s="14">
        <f>IF(AD15=14,J15,0)</f>
        <v>0</v>
      </c>
      <c r="AB15" s="14">
        <f>IF(AD15=20,J15,0)</f>
        <v>0</v>
      </c>
      <c r="AD15" s="14">
        <v>20</v>
      </c>
      <c r="AE15" s="14">
        <f>G15*0.111505844602338</f>
        <v>0</v>
      </c>
      <c r="AF15" s="14">
        <f>G15*(1-0.111505844602338)</f>
        <v>0</v>
      </c>
    </row>
    <row r="16" spans="1:32" ht="12.75">
      <c r="A16" s="5" t="s">
        <v>8</v>
      </c>
      <c r="B16" s="5"/>
      <c r="C16" s="5" t="s">
        <v>60</v>
      </c>
      <c r="D16" s="5" t="s">
        <v>127</v>
      </c>
      <c r="E16" s="5" t="s">
        <v>190</v>
      </c>
      <c r="F16" s="14">
        <v>180</v>
      </c>
      <c r="G16" s="14">
        <v>0</v>
      </c>
      <c r="H16" s="14">
        <f>ROUND(F16*AE16,2)</f>
        <v>0</v>
      </c>
      <c r="I16" s="14">
        <f>J16-H16</f>
        <v>0</v>
      </c>
      <c r="J16" s="14">
        <f>ROUND(F16*G16,2)</f>
        <v>0</v>
      </c>
      <c r="K16" s="14">
        <v>0</v>
      </c>
      <c r="L16" s="14">
        <f>F16*K16</f>
        <v>0</v>
      </c>
      <c r="N16" s="25" t="s">
        <v>6</v>
      </c>
      <c r="O16" s="14">
        <f>IF(N16="5",I16,0)</f>
        <v>0</v>
      </c>
      <c r="Z16" s="14">
        <f>IF(AD16=0,J16,0)</f>
        <v>0</v>
      </c>
      <c r="AA16" s="14">
        <f>IF(AD16=14,J16,0)</f>
        <v>0</v>
      </c>
      <c r="AB16" s="14">
        <f>IF(AD16=20,J16,0)</f>
        <v>0</v>
      </c>
      <c r="AD16" s="14">
        <v>20</v>
      </c>
      <c r="AE16" s="14">
        <f>G16*0</f>
        <v>0</v>
      </c>
      <c r="AF16" s="14">
        <f>G16*(1-0)</f>
        <v>0</v>
      </c>
    </row>
    <row r="17" spans="1:37" ht="12.75">
      <c r="A17" s="6"/>
      <c r="B17" s="6"/>
      <c r="C17" s="12" t="s">
        <v>21</v>
      </c>
      <c r="D17" s="75" t="s">
        <v>128</v>
      </c>
      <c r="E17" s="76"/>
      <c r="F17" s="76"/>
      <c r="G17" s="76"/>
      <c r="H17" s="27">
        <f>SUM(H18:H20)</f>
        <v>0</v>
      </c>
      <c r="I17" s="27">
        <f>SUM(I18:I20)</f>
        <v>0</v>
      </c>
      <c r="J17" s="27">
        <f>H17+I17</f>
        <v>0</v>
      </c>
      <c r="K17" s="22"/>
      <c r="L17" s="27">
        <f>SUM(L18:L20)</f>
        <v>0</v>
      </c>
      <c r="P17" s="27">
        <f>IF(Q17="PR",J17,SUM(O18:O20))</f>
        <v>0</v>
      </c>
      <c r="Q17" s="22" t="s">
        <v>212</v>
      </c>
      <c r="R17" s="27">
        <f>IF(Q17="HS",H17,0)</f>
        <v>0</v>
      </c>
      <c r="S17" s="27">
        <f>IF(Q17="HS",I17-P17,0)</f>
        <v>0</v>
      </c>
      <c r="T17" s="27">
        <f>IF(Q17="PS",H17,0)</f>
        <v>0</v>
      </c>
      <c r="U17" s="27">
        <f>IF(Q17="PS",I17-P17,0)</f>
        <v>0</v>
      </c>
      <c r="V17" s="27">
        <f>IF(Q17="MP",H17,0)</f>
        <v>0</v>
      </c>
      <c r="W17" s="27">
        <f>IF(Q17="MP",I17-P17,0)</f>
        <v>0</v>
      </c>
      <c r="X17" s="27">
        <f>IF(Q17="OM",H17,0)</f>
        <v>0</v>
      </c>
      <c r="Y17" s="22"/>
      <c r="AI17" s="27">
        <f>SUM(Z18:Z20)</f>
        <v>0</v>
      </c>
      <c r="AJ17" s="27">
        <f>SUM(AA18:AA20)</f>
        <v>0</v>
      </c>
      <c r="AK17" s="27">
        <f>SUM(AB18:AB20)</f>
        <v>0</v>
      </c>
    </row>
    <row r="18" spans="1:32" ht="12.75">
      <c r="A18" s="5" t="s">
        <v>9</v>
      </c>
      <c r="B18" s="5"/>
      <c r="C18" s="5" t="s">
        <v>61</v>
      </c>
      <c r="D18" s="5" t="s">
        <v>129</v>
      </c>
      <c r="E18" s="5" t="s">
        <v>189</v>
      </c>
      <c r="F18" s="14">
        <v>78</v>
      </c>
      <c r="G18" s="14">
        <v>0</v>
      </c>
      <c r="H18" s="14">
        <f>ROUND(F18*AE18,2)</f>
        <v>0</v>
      </c>
      <c r="I18" s="14">
        <f>J18-H18</f>
        <v>0</v>
      </c>
      <c r="J18" s="14">
        <f>ROUND(F18*G18,2)</f>
        <v>0</v>
      </c>
      <c r="K18" s="14">
        <v>0</v>
      </c>
      <c r="L18" s="14">
        <f>F18*K18</f>
        <v>0</v>
      </c>
      <c r="N18" s="25" t="s">
        <v>6</v>
      </c>
      <c r="O18" s="14">
        <f>IF(N18="5",I18,0)</f>
        <v>0</v>
      </c>
      <c r="Z18" s="14">
        <f>IF(AD18=0,J18,0)</f>
        <v>0</v>
      </c>
      <c r="AA18" s="14">
        <f>IF(AD18=14,J18,0)</f>
        <v>0</v>
      </c>
      <c r="AB18" s="14">
        <f>IF(AD18=20,J18,0)</f>
        <v>0</v>
      </c>
      <c r="AD18" s="14">
        <v>20</v>
      </c>
      <c r="AE18" s="14">
        <f>G18*0</f>
        <v>0</v>
      </c>
      <c r="AF18" s="14">
        <f>G18*(1-0)</f>
        <v>0</v>
      </c>
    </row>
    <row r="19" spans="1:32" ht="12.75">
      <c r="A19" s="5" t="s">
        <v>10</v>
      </c>
      <c r="B19" s="5"/>
      <c r="C19" s="5" t="s">
        <v>62</v>
      </c>
      <c r="D19" s="5" t="s">
        <v>130</v>
      </c>
      <c r="E19" s="5" t="s">
        <v>189</v>
      </c>
      <c r="F19" s="14">
        <v>30</v>
      </c>
      <c r="G19" s="14">
        <v>0</v>
      </c>
      <c r="H19" s="14">
        <f>ROUND(F19*AE19,2)</f>
        <v>0</v>
      </c>
      <c r="I19" s="14">
        <f>J19-H19</f>
        <v>0</v>
      </c>
      <c r="J19" s="14">
        <f>ROUND(F19*G19,2)</f>
        <v>0</v>
      </c>
      <c r="K19" s="14">
        <v>0</v>
      </c>
      <c r="L19" s="14">
        <f>F19*K19</f>
        <v>0</v>
      </c>
      <c r="N19" s="25" t="s">
        <v>6</v>
      </c>
      <c r="O19" s="14">
        <f>IF(N19="5",I19,0)</f>
        <v>0</v>
      </c>
      <c r="Z19" s="14">
        <f>IF(AD19=0,J19,0)</f>
        <v>0</v>
      </c>
      <c r="AA19" s="14">
        <f>IF(AD19=14,J19,0)</f>
        <v>0</v>
      </c>
      <c r="AB19" s="14">
        <f>IF(AD19=20,J19,0)</f>
        <v>0</v>
      </c>
      <c r="AD19" s="14">
        <v>20</v>
      </c>
      <c r="AE19" s="14">
        <f>G19*0</f>
        <v>0</v>
      </c>
      <c r="AF19" s="14">
        <f>G19*(1-0)</f>
        <v>0</v>
      </c>
    </row>
    <row r="20" spans="1:32" ht="12.75">
      <c r="A20" s="5" t="s">
        <v>11</v>
      </c>
      <c r="B20" s="5"/>
      <c r="C20" s="5" t="s">
        <v>63</v>
      </c>
      <c r="D20" s="5" t="s">
        <v>131</v>
      </c>
      <c r="E20" s="5" t="s">
        <v>189</v>
      </c>
      <c r="F20" s="14">
        <v>108</v>
      </c>
      <c r="G20" s="14">
        <v>0</v>
      </c>
      <c r="H20" s="14">
        <f>ROUND(F20*AE20,2)</f>
        <v>0</v>
      </c>
      <c r="I20" s="14">
        <f>J20-H20</f>
        <v>0</v>
      </c>
      <c r="J20" s="14">
        <f>ROUND(F20*G20,2)</f>
        <v>0</v>
      </c>
      <c r="K20" s="14">
        <v>0</v>
      </c>
      <c r="L20" s="14">
        <f>F20*K20</f>
        <v>0</v>
      </c>
      <c r="N20" s="25" t="s">
        <v>6</v>
      </c>
      <c r="O20" s="14">
        <f>IF(N20="5",I20,0)</f>
        <v>0</v>
      </c>
      <c r="Z20" s="14">
        <f>IF(AD20=0,J20,0)</f>
        <v>0</v>
      </c>
      <c r="AA20" s="14">
        <f>IF(AD20=14,J20,0)</f>
        <v>0</v>
      </c>
      <c r="AB20" s="14">
        <f>IF(AD20=20,J20,0)</f>
        <v>0</v>
      </c>
      <c r="AD20" s="14">
        <v>20</v>
      </c>
      <c r="AE20" s="14">
        <f>G20*0</f>
        <v>0</v>
      </c>
      <c r="AF20" s="14">
        <f>G20*(1-0)</f>
        <v>0</v>
      </c>
    </row>
    <row r="21" spans="1:37" ht="12.75">
      <c r="A21" s="6"/>
      <c r="B21" s="6"/>
      <c r="C21" s="12" t="s">
        <v>22</v>
      </c>
      <c r="D21" s="75" t="s">
        <v>132</v>
      </c>
      <c r="E21" s="76"/>
      <c r="F21" s="76"/>
      <c r="G21" s="76"/>
      <c r="H21" s="27">
        <f>SUM(H22:H23)</f>
        <v>0</v>
      </c>
      <c r="I21" s="27">
        <f>SUM(I22:I23)</f>
        <v>0</v>
      </c>
      <c r="J21" s="27">
        <f>H21+I21</f>
        <v>0</v>
      </c>
      <c r="K21" s="22"/>
      <c r="L21" s="27">
        <f>SUM(L22:L23)</f>
        <v>0</v>
      </c>
      <c r="P21" s="27">
        <f>IF(Q21="PR",J21,SUM(O22:O23))</f>
        <v>0</v>
      </c>
      <c r="Q21" s="22" t="s">
        <v>212</v>
      </c>
      <c r="R21" s="27">
        <f>IF(Q21="HS",H21,0)</f>
        <v>0</v>
      </c>
      <c r="S21" s="27">
        <f>IF(Q21="HS",I21-P21,0)</f>
        <v>0</v>
      </c>
      <c r="T21" s="27">
        <f>IF(Q21="PS",H21,0)</f>
        <v>0</v>
      </c>
      <c r="U21" s="27">
        <f>IF(Q21="PS",I21-P21,0)</f>
        <v>0</v>
      </c>
      <c r="V21" s="27">
        <f>IF(Q21="MP",H21,0)</f>
        <v>0</v>
      </c>
      <c r="W21" s="27">
        <f>IF(Q21="MP",I21-P21,0)</f>
        <v>0</v>
      </c>
      <c r="X21" s="27">
        <f>IF(Q21="OM",H21,0)</f>
        <v>0</v>
      </c>
      <c r="Y21" s="22"/>
      <c r="AI21" s="27">
        <f>SUM(Z22:Z23)</f>
        <v>0</v>
      </c>
      <c r="AJ21" s="27">
        <f>SUM(AA22:AA23)</f>
        <v>0</v>
      </c>
      <c r="AK21" s="27">
        <f>SUM(AB22:AB23)</f>
        <v>0</v>
      </c>
    </row>
    <row r="22" spans="1:32" ht="12.75">
      <c r="A22" s="5" t="s">
        <v>12</v>
      </c>
      <c r="B22" s="5"/>
      <c r="C22" s="5" t="s">
        <v>64</v>
      </c>
      <c r="D22" s="5" t="s">
        <v>133</v>
      </c>
      <c r="E22" s="5" t="s">
        <v>189</v>
      </c>
      <c r="F22" s="14">
        <v>30</v>
      </c>
      <c r="G22" s="14">
        <v>0</v>
      </c>
      <c r="H22" s="14">
        <f>ROUND(F22*AE22,2)</f>
        <v>0</v>
      </c>
      <c r="I22" s="14">
        <f>J22-H22</f>
        <v>0</v>
      </c>
      <c r="J22" s="14">
        <f>ROUND(F22*G22,2)</f>
        <v>0</v>
      </c>
      <c r="K22" s="14">
        <v>0</v>
      </c>
      <c r="L22" s="14">
        <f>F22*K22</f>
        <v>0</v>
      </c>
      <c r="N22" s="25" t="s">
        <v>6</v>
      </c>
      <c r="O22" s="14">
        <f>IF(N22="5",I22,0)</f>
        <v>0</v>
      </c>
      <c r="Z22" s="14">
        <f>IF(AD22=0,J22,0)</f>
        <v>0</v>
      </c>
      <c r="AA22" s="14">
        <f>IF(AD22=14,J22,0)</f>
        <v>0</v>
      </c>
      <c r="AB22" s="14">
        <f>IF(AD22=20,J22,0)</f>
        <v>0</v>
      </c>
      <c r="AD22" s="14">
        <v>20</v>
      </c>
      <c r="AE22" s="14">
        <f>G22*0</f>
        <v>0</v>
      </c>
      <c r="AF22" s="14">
        <f>G22*(1-0)</f>
        <v>0</v>
      </c>
    </row>
    <row r="23" spans="1:32" ht="12.75">
      <c r="A23" s="5" t="s">
        <v>13</v>
      </c>
      <c r="B23" s="5"/>
      <c r="C23" s="5" t="s">
        <v>65</v>
      </c>
      <c r="D23" s="5" t="s">
        <v>134</v>
      </c>
      <c r="E23" s="5" t="s">
        <v>189</v>
      </c>
      <c r="F23" s="14">
        <v>60</v>
      </c>
      <c r="G23" s="14">
        <v>0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</v>
      </c>
      <c r="L23" s="14">
        <f>F23*K23</f>
        <v>0</v>
      </c>
      <c r="N23" s="25" t="s">
        <v>6</v>
      </c>
      <c r="O23" s="14">
        <f>IF(N23="5",I23,0)</f>
        <v>0</v>
      </c>
      <c r="Z23" s="14">
        <f>IF(AD23=0,J23,0)</f>
        <v>0</v>
      </c>
      <c r="AA23" s="14">
        <f>IF(AD23=14,J23,0)</f>
        <v>0</v>
      </c>
      <c r="AB23" s="14">
        <f>IF(AD23=20,J23,0)</f>
        <v>0</v>
      </c>
      <c r="AD23" s="14">
        <v>20</v>
      </c>
      <c r="AE23" s="14">
        <f>G23*0</f>
        <v>0</v>
      </c>
      <c r="AF23" s="14">
        <f>G23*(1-0)</f>
        <v>0</v>
      </c>
    </row>
    <row r="24" spans="1:37" ht="12.75">
      <c r="A24" s="6"/>
      <c r="B24" s="6"/>
      <c r="C24" s="12" t="s">
        <v>66</v>
      </c>
      <c r="D24" s="75" t="s">
        <v>135</v>
      </c>
      <c r="E24" s="76"/>
      <c r="F24" s="76"/>
      <c r="G24" s="76"/>
      <c r="H24" s="27">
        <f>SUM(H25:H26)</f>
        <v>0</v>
      </c>
      <c r="I24" s="27">
        <f>SUM(I25:I26)</f>
        <v>0</v>
      </c>
      <c r="J24" s="27">
        <f>H24+I24</f>
        <v>0</v>
      </c>
      <c r="K24" s="22"/>
      <c r="L24" s="27">
        <f>SUM(L25:L26)</f>
        <v>22.729799999999997</v>
      </c>
      <c r="P24" s="27">
        <f>IF(Q24="PR",J24,SUM(O25:O26))</f>
        <v>0</v>
      </c>
      <c r="Q24" s="22" t="s">
        <v>212</v>
      </c>
      <c r="R24" s="27">
        <f>IF(Q24="HS",H24,0)</f>
        <v>0</v>
      </c>
      <c r="S24" s="27">
        <f>IF(Q24="HS",I24-P24,0)</f>
        <v>0</v>
      </c>
      <c r="T24" s="27">
        <f>IF(Q24="PS",H24,0)</f>
        <v>0</v>
      </c>
      <c r="U24" s="27">
        <f>IF(Q24="PS",I24-P24,0)</f>
        <v>0</v>
      </c>
      <c r="V24" s="27">
        <f>IF(Q24="MP",H24,0)</f>
        <v>0</v>
      </c>
      <c r="W24" s="27">
        <f>IF(Q24="MP",I24-P24,0)</f>
        <v>0</v>
      </c>
      <c r="X24" s="27">
        <f>IF(Q24="OM",H24,0)</f>
        <v>0</v>
      </c>
      <c r="Y24" s="22"/>
      <c r="AI24" s="27">
        <f>SUM(Z25:Z26)</f>
        <v>0</v>
      </c>
      <c r="AJ24" s="27">
        <f>SUM(AA25:AA26)</f>
        <v>0</v>
      </c>
      <c r="AK24" s="27">
        <f>SUM(AB25:AB26)</f>
        <v>0</v>
      </c>
    </row>
    <row r="25" spans="1:32" ht="12.75">
      <c r="A25" s="5" t="s">
        <v>14</v>
      </c>
      <c r="B25" s="5"/>
      <c r="C25" s="5" t="s">
        <v>67</v>
      </c>
      <c r="D25" s="5" t="s">
        <v>136</v>
      </c>
      <c r="E25" s="5" t="s">
        <v>190</v>
      </c>
      <c r="F25" s="14">
        <v>60</v>
      </c>
      <c r="G25" s="14">
        <v>0</v>
      </c>
      <c r="H25" s="14">
        <f>ROUND(F25*AE25,2)</f>
        <v>0</v>
      </c>
      <c r="I25" s="14">
        <f>J25-H25</f>
        <v>0</v>
      </c>
      <c r="J25" s="14">
        <f>ROUND(F25*G25,2)</f>
        <v>0</v>
      </c>
      <c r="K25" s="14">
        <v>0.15382</v>
      </c>
      <c r="L25" s="14">
        <f>F25*K25</f>
        <v>9.2292</v>
      </c>
      <c r="N25" s="25" t="s">
        <v>6</v>
      </c>
      <c r="O25" s="14">
        <f>IF(N25="5",I25,0)</f>
        <v>0</v>
      </c>
      <c r="Z25" s="14">
        <f>IF(AD25=0,J25,0)</f>
        <v>0</v>
      </c>
      <c r="AA25" s="14">
        <f>IF(AD25=14,J25,0)</f>
        <v>0</v>
      </c>
      <c r="AB25" s="14">
        <f>IF(AD25=20,J25,0)</f>
        <v>0</v>
      </c>
      <c r="AD25" s="14">
        <v>20</v>
      </c>
      <c r="AE25" s="14">
        <f>G25*0.870928462709285</f>
        <v>0</v>
      </c>
      <c r="AF25" s="14">
        <f>G25*(1-0.870928462709285)</f>
        <v>0</v>
      </c>
    </row>
    <row r="26" spans="1:32" ht="12.75">
      <c r="A26" s="5" t="s">
        <v>15</v>
      </c>
      <c r="B26" s="5"/>
      <c r="C26" s="5" t="s">
        <v>68</v>
      </c>
      <c r="D26" s="5" t="s">
        <v>137</v>
      </c>
      <c r="E26" s="5" t="s">
        <v>190</v>
      </c>
      <c r="F26" s="14">
        <v>60</v>
      </c>
      <c r="G26" s="14">
        <v>0</v>
      </c>
      <c r="H26" s="14">
        <f>ROUND(F26*AE26,2)</f>
        <v>0</v>
      </c>
      <c r="I26" s="14">
        <f>J26-H26</f>
        <v>0</v>
      </c>
      <c r="J26" s="14">
        <f>ROUND(F26*G26,2)</f>
        <v>0</v>
      </c>
      <c r="K26" s="14">
        <v>0.22501</v>
      </c>
      <c r="L26" s="14">
        <f>F26*K26</f>
        <v>13.500599999999999</v>
      </c>
      <c r="N26" s="25" t="s">
        <v>6</v>
      </c>
      <c r="O26" s="14">
        <f>IF(N26="5",I26,0)</f>
        <v>0</v>
      </c>
      <c r="Z26" s="14">
        <f>IF(AD26=0,J26,0)</f>
        <v>0</v>
      </c>
      <c r="AA26" s="14">
        <f>IF(AD26=14,J26,0)</f>
        <v>0</v>
      </c>
      <c r="AB26" s="14">
        <f>IF(AD26=20,J26,0)</f>
        <v>0</v>
      </c>
      <c r="AD26" s="14">
        <v>20</v>
      </c>
      <c r="AE26" s="14">
        <f>G26*0.840441047780176</f>
        <v>0</v>
      </c>
      <c r="AF26" s="14">
        <f>G26*(1-0.840441047780176)</f>
        <v>0</v>
      </c>
    </row>
    <row r="27" spans="1:37" ht="12.75">
      <c r="A27" s="6"/>
      <c r="B27" s="6"/>
      <c r="C27" s="12" t="s">
        <v>69</v>
      </c>
      <c r="D27" s="75" t="s">
        <v>138</v>
      </c>
      <c r="E27" s="76"/>
      <c r="F27" s="76"/>
      <c r="G27" s="76"/>
      <c r="H27" s="27">
        <f>SUM(H28:H40)</f>
        <v>0</v>
      </c>
      <c r="I27" s="27">
        <f>SUM(I28:I40)</f>
        <v>0</v>
      </c>
      <c r="J27" s="27">
        <f>H27+I27</f>
        <v>0</v>
      </c>
      <c r="K27" s="22"/>
      <c r="L27" s="27">
        <f>SUM(L28:L40)</f>
        <v>0.05891999999999999</v>
      </c>
      <c r="P27" s="27">
        <f>IF(Q27="PR",J27,SUM(O28:O40))</f>
        <v>0</v>
      </c>
      <c r="Q27" s="22" t="s">
        <v>213</v>
      </c>
      <c r="R27" s="27">
        <f>IF(Q27="HS",H27,0)</f>
        <v>0</v>
      </c>
      <c r="S27" s="27">
        <f>IF(Q27="HS",I27-P27,0)</f>
        <v>0</v>
      </c>
      <c r="T27" s="27">
        <f>IF(Q27="PS",H27,0)</f>
        <v>0</v>
      </c>
      <c r="U27" s="27">
        <f>IF(Q27="PS",I27-P27,0)</f>
        <v>0</v>
      </c>
      <c r="V27" s="27">
        <f>IF(Q27="MP",H27,0)</f>
        <v>0</v>
      </c>
      <c r="W27" s="27">
        <f>IF(Q27="MP",I27-P27,0)</f>
        <v>0</v>
      </c>
      <c r="X27" s="27">
        <f>IF(Q27="OM",H27,0)</f>
        <v>0</v>
      </c>
      <c r="Y27" s="22"/>
      <c r="AI27" s="27">
        <f>SUM(Z28:Z40)</f>
        <v>0</v>
      </c>
      <c r="AJ27" s="27">
        <f>SUM(AA28:AA40)</f>
        <v>0</v>
      </c>
      <c r="AK27" s="27">
        <f>SUM(AB28:AB40)</f>
        <v>0</v>
      </c>
    </row>
    <row r="28" spans="1:32" ht="12.75">
      <c r="A28" s="5" t="s">
        <v>16</v>
      </c>
      <c r="B28" s="5"/>
      <c r="C28" s="5" t="s">
        <v>70</v>
      </c>
      <c r="D28" s="5" t="s">
        <v>139</v>
      </c>
      <c r="E28" s="5" t="s">
        <v>191</v>
      </c>
      <c r="F28" s="14">
        <v>2</v>
      </c>
      <c r="G28" s="14">
        <v>0</v>
      </c>
      <c r="H28" s="14">
        <f aca="true" t="shared" si="0" ref="H28:H40">ROUND(F28*AE28,2)</f>
        <v>0</v>
      </c>
      <c r="I28" s="14">
        <f aca="true" t="shared" si="1" ref="I28:I40">J28-H28</f>
        <v>0</v>
      </c>
      <c r="J28" s="14">
        <f aca="true" t="shared" si="2" ref="J28:J40">ROUND(F28*G28,2)</f>
        <v>0</v>
      </c>
      <c r="K28" s="14">
        <v>0.00038</v>
      </c>
      <c r="L28" s="14">
        <f aca="true" t="shared" si="3" ref="L28:L40">F28*K28</f>
        <v>0.00076</v>
      </c>
      <c r="N28" s="25" t="s">
        <v>6</v>
      </c>
      <c r="O28" s="14">
        <f aca="true" t="shared" si="4" ref="O28:O40">IF(N28="5",I28,0)</f>
        <v>0</v>
      </c>
      <c r="Z28" s="14">
        <f aca="true" t="shared" si="5" ref="Z28:Z40">IF(AD28=0,J28,0)</f>
        <v>0</v>
      </c>
      <c r="AA28" s="14">
        <f aca="true" t="shared" si="6" ref="AA28:AA40">IF(AD28=14,J28,0)</f>
        <v>0</v>
      </c>
      <c r="AB28" s="14">
        <f aca="true" t="shared" si="7" ref="AB28:AB40">IF(AD28=20,J28,0)</f>
        <v>0</v>
      </c>
      <c r="AD28" s="14">
        <v>20</v>
      </c>
      <c r="AE28" s="14">
        <f>G28*0.250361271676301</f>
        <v>0</v>
      </c>
      <c r="AF28" s="14">
        <f>G28*(1-0.250361271676301)</f>
        <v>0</v>
      </c>
    </row>
    <row r="29" spans="1:32" ht="12.75">
      <c r="A29" s="5" t="s">
        <v>17</v>
      </c>
      <c r="B29" s="5"/>
      <c r="C29" s="5" t="s">
        <v>71</v>
      </c>
      <c r="D29" s="5" t="s">
        <v>140</v>
      </c>
      <c r="E29" s="5" t="s">
        <v>191</v>
      </c>
      <c r="F29" s="14">
        <v>4</v>
      </c>
      <c r="G29" s="14">
        <v>0</v>
      </c>
      <c r="H29" s="14">
        <f t="shared" si="0"/>
        <v>0</v>
      </c>
      <c r="I29" s="14">
        <f t="shared" si="1"/>
        <v>0</v>
      </c>
      <c r="J29" s="14">
        <f t="shared" si="2"/>
        <v>0</v>
      </c>
      <c r="K29" s="14">
        <v>0.00047</v>
      </c>
      <c r="L29" s="14">
        <f t="shared" si="3"/>
        <v>0.00188</v>
      </c>
      <c r="N29" s="25" t="s">
        <v>6</v>
      </c>
      <c r="O29" s="14">
        <f t="shared" si="4"/>
        <v>0</v>
      </c>
      <c r="Z29" s="14">
        <f t="shared" si="5"/>
        <v>0</v>
      </c>
      <c r="AA29" s="14">
        <f t="shared" si="6"/>
        <v>0</v>
      </c>
      <c r="AB29" s="14">
        <f t="shared" si="7"/>
        <v>0</v>
      </c>
      <c r="AD29" s="14">
        <v>20</v>
      </c>
      <c r="AE29" s="14">
        <f>G29*0.261283565035231</f>
        <v>0</v>
      </c>
      <c r="AF29" s="14">
        <f>G29*(1-0.261283565035231)</f>
        <v>0</v>
      </c>
    </row>
    <row r="30" spans="1:32" ht="12.75">
      <c r="A30" s="5" t="s">
        <v>18</v>
      </c>
      <c r="B30" s="5"/>
      <c r="C30" s="5" t="s">
        <v>72</v>
      </c>
      <c r="D30" s="5" t="s">
        <v>141</v>
      </c>
      <c r="E30" s="5" t="s">
        <v>191</v>
      </c>
      <c r="F30" s="14">
        <v>23</v>
      </c>
      <c r="G30" s="14">
        <v>0</v>
      </c>
      <c r="H30" s="14">
        <f t="shared" si="0"/>
        <v>0</v>
      </c>
      <c r="I30" s="14">
        <f t="shared" si="1"/>
        <v>0</v>
      </c>
      <c r="J30" s="14">
        <f t="shared" si="2"/>
        <v>0</v>
      </c>
      <c r="K30" s="14">
        <v>0.0007</v>
      </c>
      <c r="L30" s="14">
        <f t="shared" si="3"/>
        <v>0.0161</v>
      </c>
      <c r="N30" s="25" t="s">
        <v>6</v>
      </c>
      <c r="O30" s="14">
        <f t="shared" si="4"/>
        <v>0</v>
      </c>
      <c r="Z30" s="14">
        <f t="shared" si="5"/>
        <v>0</v>
      </c>
      <c r="AA30" s="14">
        <f t="shared" si="6"/>
        <v>0</v>
      </c>
      <c r="AB30" s="14">
        <f t="shared" si="7"/>
        <v>0</v>
      </c>
      <c r="AD30" s="14">
        <v>20</v>
      </c>
      <c r="AE30" s="14">
        <f>G30*0.260248384491115</f>
        <v>0</v>
      </c>
      <c r="AF30" s="14">
        <f>G30*(1-0.260248384491115)</f>
        <v>0</v>
      </c>
    </row>
    <row r="31" spans="1:32" ht="12.75">
      <c r="A31" s="5" t="s">
        <v>19</v>
      </c>
      <c r="B31" s="5"/>
      <c r="C31" s="5" t="s">
        <v>73</v>
      </c>
      <c r="D31" s="5" t="s">
        <v>142</v>
      </c>
      <c r="E31" s="5" t="s">
        <v>191</v>
      </c>
      <c r="F31" s="14">
        <v>1</v>
      </c>
      <c r="G31" s="14">
        <v>0</v>
      </c>
      <c r="H31" s="14">
        <f t="shared" si="0"/>
        <v>0</v>
      </c>
      <c r="I31" s="14">
        <f t="shared" si="1"/>
        <v>0</v>
      </c>
      <c r="J31" s="14">
        <f t="shared" si="2"/>
        <v>0</v>
      </c>
      <c r="K31" s="14">
        <v>0.00152</v>
      </c>
      <c r="L31" s="14">
        <f t="shared" si="3"/>
        <v>0.00152</v>
      </c>
      <c r="N31" s="25" t="s">
        <v>6</v>
      </c>
      <c r="O31" s="14">
        <f t="shared" si="4"/>
        <v>0</v>
      </c>
      <c r="Z31" s="14">
        <f t="shared" si="5"/>
        <v>0</v>
      </c>
      <c r="AA31" s="14">
        <f t="shared" si="6"/>
        <v>0</v>
      </c>
      <c r="AB31" s="14">
        <f t="shared" si="7"/>
        <v>0</v>
      </c>
      <c r="AD31" s="14">
        <v>20</v>
      </c>
      <c r="AE31" s="14">
        <f>G31*0.219327420546933</f>
        <v>0</v>
      </c>
      <c r="AF31" s="14">
        <f>G31*(1-0.219327420546933)</f>
        <v>0</v>
      </c>
    </row>
    <row r="32" spans="1:32" ht="12.75">
      <c r="A32" s="5" t="s">
        <v>20</v>
      </c>
      <c r="B32" s="5"/>
      <c r="C32" s="5" t="s">
        <v>74</v>
      </c>
      <c r="D32" s="5" t="s">
        <v>143</v>
      </c>
      <c r="E32" s="5" t="s">
        <v>191</v>
      </c>
      <c r="F32" s="14">
        <v>3</v>
      </c>
      <c r="G32" s="14">
        <v>0</v>
      </c>
      <c r="H32" s="14">
        <f t="shared" si="0"/>
        <v>0</v>
      </c>
      <c r="I32" s="14">
        <f t="shared" si="1"/>
        <v>0</v>
      </c>
      <c r="J32" s="14">
        <f t="shared" si="2"/>
        <v>0</v>
      </c>
      <c r="K32" s="14">
        <v>0.00209</v>
      </c>
      <c r="L32" s="14">
        <f t="shared" si="3"/>
        <v>0.0062699999999999995</v>
      </c>
      <c r="N32" s="25" t="s">
        <v>6</v>
      </c>
      <c r="O32" s="14">
        <f t="shared" si="4"/>
        <v>0</v>
      </c>
      <c r="Z32" s="14">
        <f t="shared" si="5"/>
        <v>0</v>
      </c>
      <c r="AA32" s="14">
        <f t="shared" si="6"/>
        <v>0</v>
      </c>
      <c r="AB32" s="14">
        <f t="shared" si="7"/>
        <v>0</v>
      </c>
      <c r="AD32" s="14">
        <v>20</v>
      </c>
      <c r="AE32" s="14">
        <f>G32*0.298588197111484</f>
        <v>0</v>
      </c>
      <c r="AF32" s="14">
        <f>G32*(1-0.298588197111484)</f>
        <v>0</v>
      </c>
    </row>
    <row r="33" spans="1:32" ht="12.75">
      <c r="A33" s="5" t="s">
        <v>21</v>
      </c>
      <c r="B33" s="5"/>
      <c r="C33" s="5" t="s">
        <v>75</v>
      </c>
      <c r="D33" s="5" t="s">
        <v>144</v>
      </c>
      <c r="E33" s="5" t="s">
        <v>191</v>
      </c>
      <c r="F33" s="14">
        <v>9</v>
      </c>
      <c r="G33" s="14">
        <v>0</v>
      </c>
      <c r="H33" s="14">
        <f t="shared" si="0"/>
        <v>0</v>
      </c>
      <c r="I33" s="14">
        <f t="shared" si="1"/>
        <v>0</v>
      </c>
      <c r="J33" s="14">
        <f t="shared" si="2"/>
        <v>0</v>
      </c>
      <c r="K33" s="14">
        <v>0.0025</v>
      </c>
      <c r="L33" s="14">
        <f t="shared" si="3"/>
        <v>0.0225</v>
      </c>
      <c r="N33" s="25" t="s">
        <v>6</v>
      </c>
      <c r="O33" s="14">
        <f t="shared" si="4"/>
        <v>0</v>
      </c>
      <c r="Z33" s="14">
        <f t="shared" si="5"/>
        <v>0</v>
      </c>
      <c r="AA33" s="14">
        <f t="shared" si="6"/>
        <v>0</v>
      </c>
      <c r="AB33" s="14">
        <f t="shared" si="7"/>
        <v>0</v>
      </c>
      <c r="AD33" s="14">
        <v>20</v>
      </c>
      <c r="AE33" s="14">
        <f>G33*0.377005861439416</f>
        <v>0</v>
      </c>
      <c r="AF33" s="14">
        <f>G33*(1-0.377005861439416)</f>
        <v>0</v>
      </c>
    </row>
    <row r="34" spans="1:32" ht="12.75">
      <c r="A34" s="5" t="s">
        <v>22</v>
      </c>
      <c r="B34" s="5"/>
      <c r="C34" s="5" t="s">
        <v>76</v>
      </c>
      <c r="D34" s="5" t="s">
        <v>145</v>
      </c>
      <c r="E34" s="5" t="s">
        <v>192</v>
      </c>
      <c r="F34" s="14">
        <v>2</v>
      </c>
      <c r="G34" s="14">
        <v>0</v>
      </c>
      <c r="H34" s="14">
        <f t="shared" si="0"/>
        <v>0</v>
      </c>
      <c r="I34" s="14">
        <f t="shared" si="1"/>
        <v>0</v>
      </c>
      <c r="J34" s="14">
        <f t="shared" si="2"/>
        <v>0</v>
      </c>
      <c r="K34" s="14">
        <v>0</v>
      </c>
      <c r="L34" s="14">
        <f t="shared" si="3"/>
        <v>0</v>
      </c>
      <c r="N34" s="25" t="s">
        <v>6</v>
      </c>
      <c r="O34" s="14">
        <f t="shared" si="4"/>
        <v>0</v>
      </c>
      <c r="Z34" s="14">
        <f t="shared" si="5"/>
        <v>0</v>
      </c>
      <c r="AA34" s="14">
        <f t="shared" si="6"/>
        <v>0</v>
      </c>
      <c r="AB34" s="14">
        <f t="shared" si="7"/>
        <v>0</v>
      </c>
      <c r="AD34" s="14">
        <v>20</v>
      </c>
      <c r="AE34" s="14">
        <f>G34*0</f>
        <v>0</v>
      </c>
      <c r="AF34" s="14">
        <f>G34*(1-0)</f>
        <v>0</v>
      </c>
    </row>
    <row r="35" spans="1:32" ht="12.75">
      <c r="A35" s="5" t="s">
        <v>23</v>
      </c>
      <c r="B35" s="5"/>
      <c r="C35" s="5" t="s">
        <v>77</v>
      </c>
      <c r="D35" s="5" t="s">
        <v>146</v>
      </c>
      <c r="E35" s="5" t="s">
        <v>192</v>
      </c>
      <c r="F35" s="14">
        <v>3</v>
      </c>
      <c r="G35" s="14">
        <v>0</v>
      </c>
      <c r="H35" s="14">
        <f t="shared" si="0"/>
        <v>0</v>
      </c>
      <c r="I35" s="14">
        <f t="shared" si="1"/>
        <v>0</v>
      </c>
      <c r="J35" s="14">
        <f t="shared" si="2"/>
        <v>0</v>
      </c>
      <c r="K35" s="14">
        <v>0</v>
      </c>
      <c r="L35" s="14">
        <f t="shared" si="3"/>
        <v>0</v>
      </c>
      <c r="N35" s="25" t="s">
        <v>6</v>
      </c>
      <c r="O35" s="14">
        <f t="shared" si="4"/>
        <v>0</v>
      </c>
      <c r="Z35" s="14">
        <f t="shared" si="5"/>
        <v>0</v>
      </c>
      <c r="AA35" s="14">
        <f t="shared" si="6"/>
        <v>0</v>
      </c>
      <c r="AB35" s="14">
        <f t="shared" si="7"/>
        <v>0</v>
      </c>
      <c r="AD35" s="14">
        <v>20</v>
      </c>
      <c r="AE35" s="14">
        <f>G35*0</f>
        <v>0</v>
      </c>
      <c r="AF35" s="14">
        <f>G35*(1-0)</f>
        <v>0</v>
      </c>
    </row>
    <row r="36" spans="1:32" ht="12.75">
      <c r="A36" s="5" t="s">
        <v>24</v>
      </c>
      <c r="B36" s="5"/>
      <c r="C36" s="5" t="s">
        <v>78</v>
      </c>
      <c r="D36" s="5" t="s">
        <v>147</v>
      </c>
      <c r="E36" s="5" t="s">
        <v>192</v>
      </c>
      <c r="F36" s="14">
        <v>1</v>
      </c>
      <c r="G36" s="14">
        <v>0</v>
      </c>
      <c r="H36" s="14">
        <f t="shared" si="0"/>
        <v>0</v>
      </c>
      <c r="I36" s="14">
        <f t="shared" si="1"/>
        <v>0</v>
      </c>
      <c r="J36" s="14">
        <f t="shared" si="2"/>
        <v>0</v>
      </c>
      <c r="K36" s="14">
        <v>0.00752</v>
      </c>
      <c r="L36" s="14">
        <f t="shared" si="3"/>
        <v>0.00752</v>
      </c>
      <c r="N36" s="25" t="s">
        <v>6</v>
      </c>
      <c r="O36" s="14">
        <f t="shared" si="4"/>
        <v>0</v>
      </c>
      <c r="Z36" s="14">
        <f t="shared" si="5"/>
        <v>0</v>
      </c>
      <c r="AA36" s="14">
        <f t="shared" si="6"/>
        <v>0</v>
      </c>
      <c r="AB36" s="14">
        <f t="shared" si="7"/>
        <v>0</v>
      </c>
      <c r="AD36" s="14">
        <v>20</v>
      </c>
      <c r="AE36" s="14">
        <f>G36*0.958337923352795</f>
        <v>0</v>
      </c>
      <c r="AF36" s="14">
        <f>G36*(1-0.958337923352795)</f>
        <v>0</v>
      </c>
    </row>
    <row r="37" spans="1:32" ht="12.75">
      <c r="A37" s="5" t="s">
        <v>25</v>
      </c>
      <c r="B37" s="5"/>
      <c r="C37" s="5" t="s">
        <v>79</v>
      </c>
      <c r="D37" s="5" t="s">
        <v>148</v>
      </c>
      <c r="E37" s="5" t="s">
        <v>192</v>
      </c>
      <c r="F37" s="14">
        <v>1</v>
      </c>
      <c r="G37" s="14">
        <v>0</v>
      </c>
      <c r="H37" s="14">
        <f t="shared" si="0"/>
        <v>0</v>
      </c>
      <c r="I37" s="14">
        <f t="shared" si="1"/>
        <v>0</v>
      </c>
      <c r="J37" s="14">
        <f t="shared" si="2"/>
        <v>0</v>
      </c>
      <c r="K37" s="14">
        <v>0.00224</v>
      </c>
      <c r="L37" s="14">
        <f t="shared" si="3"/>
        <v>0.00224</v>
      </c>
      <c r="N37" s="25" t="s">
        <v>6</v>
      </c>
      <c r="O37" s="14">
        <f t="shared" si="4"/>
        <v>0</v>
      </c>
      <c r="Z37" s="14">
        <f t="shared" si="5"/>
        <v>0</v>
      </c>
      <c r="AA37" s="14">
        <f t="shared" si="6"/>
        <v>0</v>
      </c>
      <c r="AB37" s="14">
        <f t="shared" si="7"/>
        <v>0</v>
      </c>
      <c r="AD37" s="14">
        <v>20</v>
      </c>
      <c r="AE37" s="14">
        <f>G37*0.989453325635839</f>
        <v>0</v>
      </c>
      <c r="AF37" s="14">
        <f>G37*(1-0.989453325635839)</f>
        <v>0</v>
      </c>
    </row>
    <row r="38" spans="1:32" ht="12.75">
      <c r="A38" s="5" t="s">
        <v>26</v>
      </c>
      <c r="B38" s="5"/>
      <c r="C38" s="5" t="s">
        <v>80</v>
      </c>
      <c r="D38" s="5" t="s">
        <v>149</v>
      </c>
      <c r="E38" s="5" t="s">
        <v>192</v>
      </c>
      <c r="F38" s="14">
        <v>1</v>
      </c>
      <c r="G38" s="14">
        <v>0</v>
      </c>
      <c r="H38" s="14">
        <f t="shared" si="0"/>
        <v>0</v>
      </c>
      <c r="I38" s="14">
        <f t="shared" si="1"/>
        <v>0</v>
      </c>
      <c r="J38" s="14">
        <f t="shared" si="2"/>
        <v>0</v>
      </c>
      <c r="K38" s="14">
        <v>0.00013</v>
      </c>
      <c r="L38" s="14">
        <f t="shared" si="3"/>
        <v>0.00013</v>
      </c>
      <c r="N38" s="25" t="s">
        <v>6</v>
      </c>
      <c r="O38" s="14">
        <f t="shared" si="4"/>
        <v>0</v>
      </c>
      <c r="Z38" s="14">
        <f t="shared" si="5"/>
        <v>0</v>
      </c>
      <c r="AA38" s="14">
        <f t="shared" si="6"/>
        <v>0</v>
      </c>
      <c r="AB38" s="14">
        <f t="shared" si="7"/>
        <v>0</v>
      </c>
      <c r="AD38" s="14">
        <v>20</v>
      </c>
      <c r="AE38" s="14">
        <f>G38*0.979368141949077</f>
        <v>0</v>
      </c>
      <c r="AF38" s="14">
        <f>G38*(1-0.979368141949077)</f>
        <v>0</v>
      </c>
    </row>
    <row r="39" spans="1:32" ht="12.75">
      <c r="A39" s="5" t="s">
        <v>27</v>
      </c>
      <c r="B39" s="5"/>
      <c r="C39" s="5" t="s">
        <v>81</v>
      </c>
      <c r="D39" s="5" t="s">
        <v>150</v>
      </c>
      <c r="E39" s="5" t="s">
        <v>191</v>
      </c>
      <c r="F39" s="14">
        <v>12</v>
      </c>
      <c r="G39" s="14">
        <v>0</v>
      </c>
      <c r="H39" s="14">
        <f t="shared" si="0"/>
        <v>0</v>
      </c>
      <c r="I39" s="14">
        <f t="shared" si="1"/>
        <v>0</v>
      </c>
      <c r="J39" s="14">
        <f t="shared" si="2"/>
        <v>0</v>
      </c>
      <c r="K39" s="14">
        <v>0</v>
      </c>
      <c r="L39" s="14">
        <f t="shared" si="3"/>
        <v>0</v>
      </c>
      <c r="N39" s="25" t="s">
        <v>6</v>
      </c>
      <c r="O39" s="14">
        <f t="shared" si="4"/>
        <v>0</v>
      </c>
      <c r="Z39" s="14">
        <f t="shared" si="5"/>
        <v>0</v>
      </c>
      <c r="AA39" s="14">
        <f t="shared" si="6"/>
        <v>0</v>
      </c>
      <c r="AB39" s="14">
        <f t="shared" si="7"/>
        <v>0</v>
      </c>
      <c r="AD39" s="14">
        <v>20</v>
      </c>
      <c r="AE39" s="14">
        <f>G39*0.0305295950155763</f>
        <v>0</v>
      </c>
      <c r="AF39" s="14">
        <f>G39*(1-0.0305295950155763)</f>
        <v>0</v>
      </c>
    </row>
    <row r="40" spans="1:32" ht="12.75">
      <c r="A40" s="5" t="s">
        <v>28</v>
      </c>
      <c r="B40" s="5"/>
      <c r="C40" s="5" t="s">
        <v>82</v>
      </c>
      <c r="D40" s="5" t="s">
        <v>151</v>
      </c>
      <c r="E40" s="5" t="s">
        <v>191</v>
      </c>
      <c r="F40" s="14">
        <v>30</v>
      </c>
      <c r="G40" s="14">
        <v>0</v>
      </c>
      <c r="H40" s="14">
        <f t="shared" si="0"/>
        <v>0</v>
      </c>
      <c r="I40" s="14">
        <f t="shared" si="1"/>
        <v>0</v>
      </c>
      <c r="J40" s="14">
        <f t="shared" si="2"/>
        <v>0</v>
      </c>
      <c r="K40" s="14">
        <v>0</v>
      </c>
      <c r="L40" s="14">
        <f t="shared" si="3"/>
        <v>0</v>
      </c>
      <c r="N40" s="25" t="s">
        <v>6</v>
      </c>
      <c r="O40" s="14">
        <f t="shared" si="4"/>
        <v>0</v>
      </c>
      <c r="Z40" s="14">
        <f t="shared" si="5"/>
        <v>0</v>
      </c>
      <c r="AA40" s="14">
        <f t="shared" si="6"/>
        <v>0</v>
      </c>
      <c r="AB40" s="14">
        <f t="shared" si="7"/>
        <v>0</v>
      </c>
      <c r="AD40" s="14">
        <v>20</v>
      </c>
      <c r="AE40" s="14">
        <f>G40*0</f>
        <v>0</v>
      </c>
      <c r="AF40" s="14">
        <f>G40*(1-0)</f>
        <v>0</v>
      </c>
    </row>
    <row r="41" spans="1:37" ht="12.75">
      <c r="A41" s="6"/>
      <c r="B41" s="6"/>
      <c r="C41" s="12" t="s">
        <v>83</v>
      </c>
      <c r="D41" s="75" t="s">
        <v>152</v>
      </c>
      <c r="E41" s="76"/>
      <c r="F41" s="76"/>
      <c r="G41" s="76"/>
      <c r="H41" s="27">
        <f>SUM(H42:H58)</f>
        <v>0</v>
      </c>
      <c r="I41" s="27">
        <f>SUM(I42:I58)</f>
        <v>0</v>
      </c>
      <c r="J41" s="27">
        <f>H41+I41</f>
        <v>0</v>
      </c>
      <c r="K41" s="22"/>
      <c r="L41" s="27">
        <f>SUM(L42:L58)</f>
        <v>0.7501099999999998</v>
      </c>
      <c r="P41" s="27">
        <f>IF(Q41="PR",J41,SUM(O42:O58))</f>
        <v>0</v>
      </c>
      <c r="Q41" s="22" t="s">
        <v>213</v>
      </c>
      <c r="R41" s="27">
        <f>IF(Q41="HS",H41,0)</f>
        <v>0</v>
      </c>
      <c r="S41" s="27">
        <f>IF(Q41="HS",I41-P41,0)</f>
        <v>0</v>
      </c>
      <c r="T41" s="27">
        <f>IF(Q41="PS",H41,0)</f>
        <v>0</v>
      </c>
      <c r="U41" s="27">
        <f>IF(Q41="PS",I41-P41,0)</f>
        <v>0</v>
      </c>
      <c r="V41" s="27">
        <f>IF(Q41="MP",H41,0)</f>
        <v>0</v>
      </c>
      <c r="W41" s="27">
        <f>IF(Q41="MP",I41-P41,0)</f>
        <v>0</v>
      </c>
      <c r="X41" s="27">
        <f>IF(Q41="OM",H41,0)</f>
        <v>0</v>
      </c>
      <c r="Y41" s="22"/>
      <c r="AI41" s="27">
        <f>SUM(Z42:Z58)</f>
        <v>0</v>
      </c>
      <c r="AJ41" s="27">
        <f>SUM(AA42:AA58)</f>
        <v>0</v>
      </c>
      <c r="AK41" s="27">
        <f>SUM(AB42:AB58)</f>
        <v>0</v>
      </c>
    </row>
    <row r="42" spans="1:32" ht="12.75">
      <c r="A42" s="5" t="s">
        <v>29</v>
      </c>
      <c r="B42" s="5"/>
      <c r="C42" s="5" t="s">
        <v>84</v>
      </c>
      <c r="D42" s="5" t="s">
        <v>153</v>
      </c>
      <c r="E42" s="5" t="s">
        <v>191</v>
      </c>
      <c r="F42" s="14">
        <v>77</v>
      </c>
      <c r="G42" s="14">
        <v>0</v>
      </c>
      <c r="H42" s="14">
        <f aca="true" t="shared" si="8" ref="H42:H58">ROUND(F42*AE42,2)</f>
        <v>0</v>
      </c>
      <c r="I42" s="14">
        <f aca="true" t="shared" si="9" ref="I42:I58">J42-H42</f>
        <v>0</v>
      </c>
      <c r="J42" s="14">
        <f aca="true" t="shared" si="10" ref="J42:J58">ROUND(F42*G42,2)</f>
        <v>0</v>
      </c>
      <c r="K42" s="14">
        <v>0.0008</v>
      </c>
      <c r="L42" s="14">
        <f aca="true" t="shared" si="11" ref="L42:L58">F42*K42</f>
        <v>0.0616</v>
      </c>
      <c r="N42" s="25" t="s">
        <v>6</v>
      </c>
      <c r="O42" s="14">
        <f aca="true" t="shared" si="12" ref="O42:O58">IF(N42="5",I42,0)</f>
        <v>0</v>
      </c>
      <c r="Z42" s="14">
        <f aca="true" t="shared" si="13" ref="Z42:Z58">IF(AD42=0,J42,0)</f>
        <v>0</v>
      </c>
      <c r="AA42" s="14">
        <f aca="true" t="shared" si="14" ref="AA42:AA58">IF(AD42=14,J42,0)</f>
        <v>0</v>
      </c>
      <c r="AB42" s="14">
        <f aca="true" t="shared" si="15" ref="AB42:AB58">IF(AD42=20,J42,0)</f>
        <v>0</v>
      </c>
      <c r="AD42" s="14">
        <v>20</v>
      </c>
      <c r="AE42" s="14">
        <f>G42*0.463663524659148</f>
        <v>0</v>
      </c>
      <c r="AF42" s="14">
        <f>G42*(1-0.463663524659148)</f>
        <v>0</v>
      </c>
    </row>
    <row r="43" spans="1:32" ht="12.75">
      <c r="A43" s="5" t="s">
        <v>30</v>
      </c>
      <c r="B43" s="5"/>
      <c r="C43" s="5" t="s">
        <v>85</v>
      </c>
      <c r="D43" s="5" t="s">
        <v>154</v>
      </c>
      <c r="E43" s="5" t="s">
        <v>191</v>
      </c>
      <c r="F43" s="14">
        <v>66</v>
      </c>
      <c r="G43" s="14">
        <v>0</v>
      </c>
      <c r="H43" s="14">
        <f t="shared" si="8"/>
        <v>0</v>
      </c>
      <c r="I43" s="14">
        <f t="shared" si="9"/>
        <v>0</v>
      </c>
      <c r="J43" s="14">
        <f t="shared" si="10"/>
        <v>0</v>
      </c>
      <c r="K43" s="14">
        <v>0.00371</v>
      </c>
      <c r="L43" s="14">
        <f t="shared" si="11"/>
        <v>0.24486000000000002</v>
      </c>
      <c r="N43" s="25" t="s">
        <v>6</v>
      </c>
      <c r="O43" s="14">
        <f t="shared" si="12"/>
        <v>0</v>
      </c>
      <c r="Z43" s="14">
        <f t="shared" si="13"/>
        <v>0</v>
      </c>
      <c r="AA43" s="14">
        <f t="shared" si="14"/>
        <v>0</v>
      </c>
      <c r="AB43" s="14">
        <f t="shared" si="15"/>
        <v>0</v>
      </c>
      <c r="AD43" s="14">
        <v>20</v>
      </c>
      <c r="AE43" s="14">
        <f>G43*0.62284086603898</f>
        <v>0</v>
      </c>
      <c r="AF43" s="14">
        <f>G43*(1-0.62284086603898)</f>
        <v>0</v>
      </c>
    </row>
    <row r="44" spans="1:32" ht="12.75">
      <c r="A44" s="5" t="s">
        <v>31</v>
      </c>
      <c r="B44" s="5"/>
      <c r="C44" s="5" t="s">
        <v>86</v>
      </c>
      <c r="D44" s="5" t="s">
        <v>155</v>
      </c>
      <c r="E44" s="5" t="s">
        <v>191</v>
      </c>
      <c r="F44" s="14">
        <v>36</v>
      </c>
      <c r="G44" s="14">
        <v>0</v>
      </c>
      <c r="H44" s="14">
        <f t="shared" si="8"/>
        <v>0</v>
      </c>
      <c r="I44" s="14">
        <f t="shared" si="9"/>
        <v>0</v>
      </c>
      <c r="J44" s="14">
        <f t="shared" si="10"/>
        <v>0</v>
      </c>
      <c r="K44" s="14">
        <v>0.00544</v>
      </c>
      <c r="L44" s="14">
        <f t="shared" si="11"/>
        <v>0.19584000000000001</v>
      </c>
      <c r="N44" s="25" t="s">
        <v>6</v>
      </c>
      <c r="O44" s="14">
        <f t="shared" si="12"/>
        <v>0</v>
      </c>
      <c r="Z44" s="14">
        <f t="shared" si="13"/>
        <v>0</v>
      </c>
      <c r="AA44" s="14">
        <f t="shared" si="14"/>
        <v>0</v>
      </c>
      <c r="AB44" s="14">
        <f t="shared" si="15"/>
        <v>0</v>
      </c>
      <c r="AD44" s="14">
        <v>20</v>
      </c>
      <c r="AE44" s="14">
        <f>G44*0.383160404717407</f>
        <v>0</v>
      </c>
      <c r="AF44" s="14">
        <f>G44*(1-0.383160404717407)</f>
        <v>0</v>
      </c>
    </row>
    <row r="45" spans="1:32" ht="12.75">
      <c r="A45" s="5" t="s">
        <v>32</v>
      </c>
      <c r="B45" s="5"/>
      <c r="C45" s="5" t="s">
        <v>87</v>
      </c>
      <c r="D45" s="5" t="s">
        <v>156</v>
      </c>
      <c r="E45" s="5" t="s">
        <v>191</v>
      </c>
      <c r="F45" s="14">
        <v>12</v>
      </c>
      <c r="G45" s="14">
        <v>0</v>
      </c>
      <c r="H45" s="14">
        <f t="shared" si="8"/>
        <v>0</v>
      </c>
      <c r="I45" s="14">
        <f t="shared" si="9"/>
        <v>0</v>
      </c>
      <c r="J45" s="14">
        <f t="shared" si="10"/>
        <v>0</v>
      </c>
      <c r="K45" s="14">
        <v>0.00575</v>
      </c>
      <c r="L45" s="14">
        <f t="shared" si="11"/>
        <v>0.069</v>
      </c>
      <c r="N45" s="25" t="s">
        <v>6</v>
      </c>
      <c r="O45" s="14">
        <f t="shared" si="12"/>
        <v>0</v>
      </c>
      <c r="Z45" s="14">
        <f t="shared" si="13"/>
        <v>0</v>
      </c>
      <c r="AA45" s="14">
        <f t="shared" si="14"/>
        <v>0</v>
      </c>
      <c r="AB45" s="14">
        <f t="shared" si="15"/>
        <v>0</v>
      </c>
      <c r="AD45" s="14">
        <v>20</v>
      </c>
      <c r="AE45" s="14">
        <f>G45*0.503144390407513</f>
        <v>0</v>
      </c>
      <c r="AF45" s="14">
        <f>G45*(1-0.503144390407513)</f>
        <v>0</v>
      </c>
    </row>
    <row r="46" spans="1:32" ht="12.75">
      <c r="A46" s="5" t="s">
        <v>33</v>
      </c>
      <c r="B46" s="5"/>
      <c r="C46" s="5" t="s">
        <v>88</v>
      </c>
      <c r="D46" s="5" t="s">
        <v>157</v>
      </c>
      <c r="E46" s="5" t="s">
        <v>191</v>
      </c>
      <c r="F46" s="14">
        <v>36</v>
      </c>
      <c r="G46" s="14">
        <v>0</v>
      </c>
      <c r="H46" s="14">
        <f t="shared" si="8"/>
        <v>0</v>
      </c>
      <c r="I46" s="14">
        <f t="shared" si="9"/>
        <v>0</v>
      </c>
      <c r="J46" s="14">
        <f t="shared" si="10"/>
        <v>0</v>
      </c>
      <c r="K46" s="14">
        <v>4E-05</v>
      </c>
      <c r="L46" s="14">
        <f t="shared" si="11"/>
        <v>0.00144</v>
      </c>
      <c r="N46" s="25" t="s">
        <v>6</v>
      </c>
      <c r="O46" s="14">
        <f t="shared" si="12"/>
        <v>0</v>
      </c>
      <c r="Z46" s="14">
        <f t="shared" si="13"/>
        <v>0</v>
      </c>
      <c r="AA46" s="14">
        <f t="shared" si="14"/>
        <v>0</v>
      </c>
      <c r="AB46" s="14">
        <f t="shared" si="15"/>
        <v>0</v>
      </c>
      <c r="AD46" s="14">
        <v>20</v>
      </c>
      <c r="AE46" s="14">
        <f>G46*0.762771335117455</f>
        <v>0</v>
      </c>
      <c r="AF46" s="14">
        <f>G46*(1-0.762771335117455)</f>
        <v>0</v>
      </c>
    </row>
    <row r="47" spans="1:32" ht="12.75">
      <c r="A47" s="5" t="s">
        <v>34</v>
      </c>
      <c r="B47" s="5"/>
      <c r="C47" s="5" t="s">
        <v>89</v>
      </c>
      <c r="D47" s="5" t="s">
        <v>157</v>
      </c>
      <c r="E47" s="5" t="s">
        <v>191</v>
      </c>
      <c r="F47" s="14">
        <v>12</v>
      </c>
      <c r="G47" s="14">
        <v>0</v>
      </c>
      <c r="H47" s="14">
        <f t="shared" si="8"/>
        <v>0</v>
      </c>
      <c r="I47" s="14">
        <f t="shared" si="9"/>
        <v>0</v>
      </c>
      <c r="J47" s="14">
        <f t="shared" si="10"/>
        <v>0</v>
      </c>
      <c r="K47" s="14">
        <v>0.0001</v>
      </c>
      <c r="L47" s="14">
        <f t="shared" si="11"/>
        <v>0.0012000000000000001</v>
      </c>
      <c r="N47" s="25" t="s">
        <v>6</v>
      </c>
      <c r="O47" s="14">
        <f t="shared" si="12"/>
        <v>0</v>
      </c>
      <c r="Z47" s="14">
        <f t="shared" si="13"/>
        <v>0</v>
      </c>
      <c r="AA47" s="14">
        <f t="shared" si="14"/>
        <v>0</v>
      </c>
      <c r="AB47" s="14">
        <f t="shared" si="15"/>
        <v>0</v>
      </c>
      <c r="AD47" s="14">
        <v>20</v>
      </c>
      <c r="AE47" s="14">
        <f>G47*0.792509645243248</f>
        <v>0</v>
      </c>
      <c r="AF47" s="14">
        <f>G47*(1-0.792509645243248)</f>
        <v>0</v>
      </c>
    </row>
    <row r="48" spans="1:32" ht="12.75">
      <c r="A48" s="5" t="s">
        <v>35</v>
      </c>
      <c r="B48" s="5"/>
      <c r="C48" s="5" t="s">
        <v>90</v>
      </c>
      <c r="D48" s="5" t="s">
        <v>158</v>
      </c>
      <c r="E48" s="5" t="s">
        <v>192</v>
      </c>
      <c r="F48" s="14">
        <v>4</v>
      </c>
      <c r="G48" s="14">
        <v>0</v>
      </c>
      <c r="H48" s="14">
        <f t="shared" si="8"/>
        <v>0</v>
      </c>
      <c r="I48" s="14">
        <f t="shared" si="9"/>
        <v>0</v>
      </c>
      <c r="J48" s="14">
        <f t="shared" si="10"/>
        <v>0</v>
      </c>
      <c r="K48" s="14">
        <v>0</v>
      </c>
      <c r="L48" s="14">
        <f t="shared" si="11"/>
        <v>0</v>
      </c>
      <c r="N48" s="25" t="s">
        <v>6</v>
      </c>
      <c r="O48" s="14">
        <f t="shared" si="12"/>
        <v>0</v>
      </c>
      <c r="Z48" s="14">
        <f t="shared" si="13"/>
        <v>0</v>
      </c>
      <c r="AA48" s="14">
        <f t="shared" si="14"/>
        <v>0</v>
      </c>
      <c r="AB48" s="14">
        <f t="shared" si="15"/>
        <v>0</v>
      </c>
      <c r="AD48" s="14">
        <v>20</v>
      </c>
      <c r="AE48" s="14">
        <f>G48*0</f>
        <v>0</v>
      </c>
      <c r="AF48" s="14">
        <f>G48*(1-0)</f>
        <v>0</v>
      </c>
    </row>
    <row r="49" spans="1:32" ht="12.75">
      <c r="A49" s="5" t="s">
        <v>36</v>
      </c>
      <c r="B49" s="5"/>
      <c r="C49" s="5" t="s">
        <v>91</v>
      </c>
      <c r="D49" s="5" t="s">
        <v>159</v>
      </c>
      <c r="E49" s="5" t="s">
        <v>193</v>
      </c>
      <c r="F49" s="14">
        <v>1</v>
      </c>
      <c r="G49" s="14">
        <v>0</v>
      </c>
      <c r="H49" s="14">
        <f t="shared" si="8"/>
        <v>0</v>
      </c>
      <c r="I49" s="14">
        <f t="shared" si="9"/>
        <v>0</v>
      </c>
      <c r="J49" s="14">
        <f t="shared" si="10"/>
        <v>0</v>
      </c>
      <c r="K49" s="14">
        <v>0.04425</v>
      </c>
      <c r="L49" s="14">
        <f t="shared" si="11"/>
        <v>0.04425</v>
      </c>
      <c r="N49" s="25" t="s">
        <v>6</v>
      </c>
      <c r="O49" s="14">
        <f t="shared" si="12"/>
        <v>0</v>
      </c>
      <c r="Z49" s="14">
        <f t="shared" si="13"/>
        <v>0</v>
      </c>
      <c r="AA49" s="14">
        <f t="shared" si="14"/>
        <v>0</v>
      </c>
      <c r="AB49" s="14">
        <f t="shared" si="15"/>
        <v>0</v>
      </c>
      <c r="AD49" s="14">
        <v>20</v>
      </c>
      <c r="AE49" s="14">
        <f>G49*0.840535588703409</f>
        <v>0</v>
      </c>
      <c r="AF49" s="14">
        <f>G49*(1-0.840535588703409)</f>
        <v>0</v>
      </c>
    </row>
    <row r="50" spans="1:32" ht="12.75">
      <c r="A50" s="5" t="s">
        <v>37</v>
      </c>
      <c r="B50" s="5"/>
      <c r="C50" s="5" t="s">
        <v>92</v>
      </c>
      <c r="D50" s="5" t="s">
        <v>160</v>
      </c>
      <c r="E50" s="5" t="s">
        <v>194</v>
      </c>
      <c r="F50" s="14">
        <v>4</v>
      </c>
      <c r="G50" s="14">
        <v>0</v>
      </c>
      <c r="H50" s="14">
        <f t="shared" si="8"/>
        <v>0</v>
      </c>
      <c r="I50" s="14">
        <f t="shared" si="9"/>
        <v>0</v>
      </c>
      <c r="J50" s="14">
        <f t="shared" si="10"/>
        <v>0</v>
      </c>
      <c r="K50" s="14">
        <v>0.01022</v>
      </c>
      <c r="L50" s="14">
        <f t="shared" si="11"/>
        <v>0.04088</v>
      </c>
      <c r="N50" s="25" t="s">
        <v>6</v>
      </c>
      <c r="O50" s="14">
        <f t="shared" si="12"/>
        <v>0</v>
      </c>
      <c r="Z50" s="14">
        <f t="shared" si="13"/>
        <v>0</v>
      </c>
      <c r="AA50" s="14">
        <f t="shared" si="14"/>
        <v>0</v>
      </c>
      <c r="AB50" s="14">
        <f t="shared" si="15"/>
        <v>0</v>
      </c>
      <c r="AD50" s="14">
        <v>20</v>
      </c>
      <c r="AE50" s="14">
        <f>G50*0.880081738400628</f>
        <v>0</v>
      </c>
      <c r="AF50" s="14">
        <f>G50*(1-0.880081738400628)</f>
        <v>0</v>
      </c>
    </row>
    <row r="51" spans="1:32" ht="12.75">
      <c r="A51" s="5" t="s">
        <v>38</v>
      </c>
      <c r="B51" s="5"/>
      <c r="C51" s="5" t="s">
        <v>93</v>
      </c>
      <c r="D51" s="5" t="s">
        <v>161</v>
      </c>
      <c r="E51" s="5" t="s">
        <v>194</v>
      </c>
      <c r="F51" s="14">
        <v>2</v>
      </c>
      <c r="G51" s="14">
        <v>0</v>
      </c>
      <c r="H51" s="14">
        <f t="shared" si="8"/>
        <v>0</v>
      </c>
      <c r="I51" s="14">
        <f t="shared" si="9"/>
        <v>0</v>
      </c>
      <c r="J51" s="14">
        <f t="shared" si="10"/>
        <v>0</v>
      </c>
      <c r="K51" s="14">
        <v>0.0163</v>
      </c>
      <c r="L51" s="14">
        <f t="shared" si="11"/>
        <v>0.0326</v>
      </c>
      <c r="N51" s="25" t="s">
        <v>6</v>
      </c>
      <c r="O51" s="14">
        <f t="shared" si="12"/>
        <v>0</v>
      </c>
      <c r="Z51" s="14">
        <f t="shared" si="13"/>
        <v>0</v>
      </c>
      <c r="AA51" s="14">
        <f t="shared" si="14"/>
        <v>0</v>
      </c>
      <c r="AB51" s="14">
        <f t="shared" si="15"/>
        <v>0</v>
      </c>
      <c r="AD51" s="14">
        <v>20</v>
      </c>
      <c r="AE51" s="14">
        <f>G51*0.884333247537263</f>
        <v>0</v>
      </c>
      <c r="AF51" s="14">
        <f>G51*(1-0.884333247537263)</f>
        <v>0</v>
      </c>
    </row>
    <row r="52" spans="1:32" ht="12.75">
      <c r="A52" s="5" t="s">
        <v>39</v>
      </c>
      <c r="B52" s="5"/>
      <c r="C52" s="5" t="s">
        <v>94</v>
      </c>
      <c r="D52" s="5" t="s">
        <v>162</v>
      </c>
      <c r="E52" s="5" t="s">
        <v>192</v>
      </c>
      <c r="F52" s="14">
        <v>1</v>
      </c>
      <c r="G52" s="14">
        <v>0</v>
      </c>
      <c r="H52" s="14">
        <f t="shared" si="8"/>
        <v>0</v>
      </c>
      <c r="I52" s="14">
        <f t="shared" si="9"/>
        <v>0</v>
      </c>
      <c r="J52" s="14">
        <f t="shared" si="10"/>
        <v>0</v>
      </c>
      <c r="K52" s="14">
        <v>0.0002</v>
      </c>
      <c r="L52" s="14">
        <f t="shared" si="11"/>
        <v>0.0002</v>
      </c>
      <c r="N52" s="25" t="s">
        <v>6</v>
      </c>
      <c r="O52" s="14">
        <f t="shared" si="12"/>
        <v>0</v>
      </c>
      <c r="Z52" s="14">
        <f t="shared" si="13"/>
        <v>0</v>
      </c>
      <c r="AA52" s="14">
        <f t="shared" si="14"/>
        <v>0</v>
      </c>
      <c r="AB52" s="14">
        <f t="shared" si="15"/>
        <v>0</v>
      </c>
      <c r="AD52" s="14">
        <v>20</v>
      </c>
      <c r="AE52" s="14">
        <f>G52*0.678038379530917</f>
        <v>0</v>
      </c>
      <c r="AF52" s="14">
        <f>G52*(1-0.678038379530917)</f>
        <v>0</v>
      </c>
    </row>
    <row r="53" spans="1:32" ht="12.75">
      <c r="A53" s="5" t="s">
        <v>40</v>
      </c>
      <c r="B53" s="5"/>
      <c r="C53" s="5" t="s">
        <v>95</v>
      </c>
      <c r="D53" s="5" t="s">
        <v>163</v>
      </c>
      <c r="E53" s="5" t="s">
        <v>192</v>
      </c>
      <c r="F53" s="14">
        <v>2</v>
      </c>
      <c r="G53" s="14">
        <v>0</v>
      </c>
      <c r="H53" s="14">
        <f t="shared" si="8"/>
        <v>0</v>
      </c>
      <c r="I53" s="14">
        <f t="shared" si="9"/>
        <v>0</v>
      </c>
      <c r="J53" s="14">
        <f t="shared" si="10"/>
        <v>0</v>
      </c>
      <c r="K53" s="14">
        <v>0.00032</v>
      </c>
      <c r="L53" s="14">
        <f t="shared" si="11"/>
        <v>0.00064</v>
      </c>
      <c r="N53" s="25" t="s">
        <v>6</v>
      </c>
      <c r="O53" s="14">
        <f t="shared" si="12"/>
        <v>0</v>
      </c>
      <c r="Z53" s="14">
        <f t="shared" si="13"/>
        <v>0</v>
      </c>
      <c r="AA53" s="14">
        <f t="shared" si="14"/>
        <v>0</v>
      </c>
      <c r="AB53" s="14">
        <f t="shared" si="15"/>
        <v>0</v>
      </c>
      <c r="AD53" s="14">
        <v>20</v>
      </c>
      <c r="AE53" s="14">
        <f>G53*0.764739309561017</f>
        <v>0</v>
      </c>
      <c r="AF53" s="14">
        <f>G53*(1-0.764739309561017)</f>
        <v>0</v>
      </c>
    </row>
    <row r="54" spans="1:32" ht="12.75">
      <c r="A54" s="5" t="s">
        <v>41</v>
      </c>
      <c r="B54" s="5"/>
      <c r="C54" s="5" t="s">
        <v>96</v>
      </c>
      <c r="D54" s="5" t="s">
        <v>164</v>
      </c>
      <c r="E54" s="5" t="s">
        <v>192</v>
      </c>
      <c r="F54" s="14">
        <v>1</v>
      </c>
      <c r="G54" s="14">
        <v>0</v>
      </c>
      <c r="H54" s="14">
        <f t="shared" si="8"/>
        <v>0</v>
      </c>
      <c r="I54" s="14">
        <f t="shared" si="9"/>
        <v>0</v>
      </c>
      <c r="J54" s="14">
        <f t="shared" si="10"/>
        <v>0</v>
      </c>
      <c r="K54" s="14">
        <v>0.00048</v>
      </c>
      <c r="L54" s="14">
        <f t="shared" si="11"/>
        <v>0.00048</v>
      </c>
      <c r="N54" s="25" t="s">
        <v>6</v>
      </c>
      <c r="O54" s="14">
        <f t="shared" si="12"/>
        <v>0</v>
      </c>
      <c r="Z54" s="14">
        <f t="shared" si="13"/>
        <v>0</v>
      </c>
      <c r="AA54" s="14">
        <f t="shared" si="14"/>
        <v>0</v>
      </c>
      <c r="AB54" s="14">
        <f t="shared" si="15"/>
        <v>0</v>
      </c>
      <c r="AD54" s="14">
        <v>20</v>
      </c>
      <c r="AE54" s="14">
        <f>G54*0.90435555165568</f>
        <v>0</v>
      </c>
      <c r="AF54" s="14">
        <f>G54*(1-0.90435555165568)</f>
        <v>0</v>
      </c>
    </row>
    <row r="55" spans="1:32" ht="12.75">
      <c r="A55" s="5" t="s">
        <v>42</v>
      </c>
      <c r="B55" s="5"/>
      <c r="C55" s="5" t="s">
        <v>97</v>
      </c>
      <c r="D55" s="5" t="s">
        <v>165</v>
      </c>
      <c r="E55" s="5" t="s">
        <v>192</v>
      </c>
      <c r="F55" s="14">
        <v>1</v>
      </c>
      <c r="G55" s="14">
        <v>0</v>
      </c>
      <c r="H55" s="14">
        <f t="shared" si="8"/>
        <v>0</v>
      </c>
      <c r="I55" s="14">
        <f t="shared" si="9"/>
        <v>0</v>
      </c>
      <c r="J55" s="14">
        <f t="shared" si="10"/>
        <v>0</v>
      </c>
      <c r="K55" s="14">
        <v>0.00132</v>
      </c>
      <c r="L55" s="14">
        <f t="shared" si="11"/>
        <v>0.00132</v>
      </c>
      <c r="N55" s="25" t="s">
        <v>6</v>
      </c>
      <c r="O55" s="14">
        <f t="shared" si="12"/>
        <v>0</v>
      </c>
      <c r="Z55" s="14">
        <f t="shared" si="13"/>
        <v>0</v>
      </c>
      <c r="AA55" s="14">
        <f t="shared" si="14"/>
        <v>0</v>
      </c>
      <c r="AB55" s="14">
        <f t="shared" si="15"/>
        <v>0</v>
      </c>
      <c r="AD55" s="14">
        <v>20</v>
      </c>
      <c r="AE55" s="14">
        <f>G55*0.921646981028822</f>
        <v>0</v>
      </c>
      <c r="AF55" s="14">
        <f>G55*(1-0.921646981028822)</f>
        <v>0</v>
      </c>
    </row>
    <row r="56" spans="1:32" ht="12.75">
      <c r="A56" s="5" t="s">
        <v>43</v>
      </c>
      <c r="B56" s="5"/>
      <c r="C56" s="5" t="s">
        <v>98</v>
      </c>
      <c r="D56" s="5" t="s">
        <v>166</v>
      </c>
      <c r="E56" s="5" t="s">
        <v>192</v>
      </c>
      <c r="F56" s="14">
        <v>1</v>
      </c>
      <c r="G56" s="14">
        <v>0</v>
      </c>
      <c r="H56" s="14">
        <f t="shared" si="8"/>
        <v>0</v>
      </c>
      <c r="I56" s="14">
        <f t="shared" si="9"/>
        <v>0</v>
      </c>
      <c r="J56" s="14">
        <f t="shared" si="10"/>
        <v>0</v>
      </c>
      <c r="K56" s="14">
        <v>0.01951</v>
      </c>
      <c r="L56" s="14">
        <f t="shared" si="11"/>
        <v>0.01951</v>
      </c>
      <c r="N56" s="25" t="s">
        <v>6</v>
      </c>
      <c r="O56" s="14">
        <f t="shared" si="12"/>
        <v>0</v>
      </c>
      <c r="Z56" s="14">
        <f t="shared" si="13"/>
        <v>0</v>
      </c>
      <c r="AA56" s="14">
        <f t="shared" si="14"/>
        <v>0</v>
      </c>
      <c r="AB56" s="14">
        <f t="shared" si="15"/>
        <v>0</v>
      </c>
      <c r="AD56" s="14">
        <v>20</v>
      </c>
      <c r="AE56" s="14">
        <f>G56*0.964899513541741</f>
        <v>0</v>
      </c>
      <c r="AF56" s="14">
        <f>G56*(1-0.964899513541741)</f>
        <v>0</v>
      </c>
    </row>
    <row r="57" spans="1:32" ht="12.75">
      <c r="A57" s="5" t="s">
        <v>44</v>
      </c>
      <c r="B57" s="5"/>
      <c r="C57" s="5" t="s">
        <v>99</v>
      </c>
      <c r="D57" s="5" t="s">
        <v>167</v>
      </c>
      <c r="E57" s="5" t="s">
        <v>191</v>
      </c>
      <c r="F57" s="14">
        <v>191</v>
      </c>
      <c r="G57" s="14">
        <v>0</v>
      </c>
      <c r="H57" s="14">
        <f t="shared" si="8"/>
        <v>0</v>
      </c>
      <c r="I57" s="14">
        <f t="shared" si="9"/>
        <v>0</v>
      </c>
      <c r="J57" s="14">
        <f t="shared" si="10"/>
        <v>0</v>
      </c>
      <c r="K57" s="14">
        <v>0.00018</v>
      </c>
      <c r="L57" s="14">
        <f t="shared" si="11"/>
        <v>0.03438</v>
      </c>
      <c r="N57" s="25" t="s">
        <v>6</v>
      </c>
      <c r="O57" s="14">
        <f t="shared" si="12"/>
        <v>0</v>
      </c>
      <c r="Z57" s="14">
        <f t="shared" si="13"/>
        <v>0</v>
      </c>
      <c r="AA57" s="14">
        <f t="shared" si="14"/>
        <v>0</v>
      </c>
      <c r="AB57" s="14">
        <f t="shared" si="15"/>
        <v>0</v>
      </c>
      <c r="AD57" s="14">
        <v>20</v>
      </c>
      <c r="AE57" s="14">
        <f>G57*0.24839255499154</f>
        <v>0</v>
      </c>
      <c r="AF57" s="14">
        <f>G57*(1-0.24839255499154)</f>
        <v>0</v>
      </c>
    </row>
    <row r="58" spans="1:32" ht="12.75">
      <c r="A58" s="5" t="s">
        <v>45</v>
      </c>
      <c r="B58" s="5"/>
      <c r="C58" s="5" t="s">
        <v>100</v>
      </c>
      <c r="D58" s="5" t="s">
        <v>168</v>
      </c>
      <c r="E58" s="5" t="s">
        <v>191</v>
      </c>
      <c r="F58" s="14">
        <v>191</v>
      </c>
      <c r="G58" s="14">
        <v>0</v>
      </c>
      <c r="H58" s="14">
        <f t="shared" si="8"/>
        <v>0</v>
      </c>
      <c r="I58" s="14">
        <f t="shared" si="9"/>
        <v>0</v>
      </c>
      <c r="J58" s="14">
        <f t="shared" si="10"/>
        <v>0</v>
      </c>
      <c r="K58" s="14">
        <v>1E-05</v>
      </c>
      <c r="L58" s="14">
        <f t="shared" si="11"/>
        <v>0.0019100000000000002</v>
      </c>
      <c r="N58" s="25" t="s">
        <v>6</v>
      </c>
      <c r="O58" s="14">
        <f t="shared" si="12"/>
        <v>0</v>
      </c>
      <c r="Z58" s="14">
        <f t="shared" si="13"/>
        <v>0</v>
      </c>
      <c r="AA58" s="14">
        <f t="shared" si="14"/>
        <v>0</v>
      </c>
      <c r="AB58" s="14">
        <f t="shared" si="15"/>
        <v>0</v>
      </c>
      <c r="AD58" s="14">
        <v>20</v>
      </c>
      <c r="AE58" s="14">
        <f>G58*0.0597713097713098</f>
        <v>0</v>
      </c>
      <c r="AF58" s="14">
        <f>G58*(1-0.0597713097713098)</f>
        <v>0</v>
      </c>
    </row>
    <row r="59" spans="1:37" ht="12.75">
      <c r="A59" s="6"/>
      <c r="B59" s="6"/>
      <c r="C59" s="12" t="s">
        <v>101</v>
      </c>
      <c r="D59" s="75" t="s">
        <v>169</v>
      </c>
      <c r="E59" s="76"/>
      <c r="F59" s="76"/>
      <c r="G59" s="76"/>
      <c r="H59" s="27">
        <f>SUM(H60:H62)</f>
        <v>0</v>
      </c>
      <c r="I59" s="27">
        <f>SUM(I60:I62)</f>
        <v>0</v>
      </c>
      <c r="J59" s="27">
        <f>H59+I59</f>
        <v>0</v>
      </c>
      <c r="K59" s="22"/>
      <c r="L59" s="27">
        <f>SUM(L60:L62)</f>
        <v>0.11578000000000001</v>
      </c>
      <c r="P59" s="27">
        <f>IF(Q59="PR",J59,SUM(O60:O62))</f>
        <v>0</v>
      </c>
      <c r="Q59" s="22" t="s">
        <v>213</v>
      </c>
      <c r="R59" s="27">
        <f>IF(Q59="HS",H59,0)</f>
        <v>0</v>
      </c>
      <c r="S59" s="27">
        <f>IF(Q59="HS",I59-P59,0)</f>
        <v>0</v>
      </c>
      <c r="T59" s="27">
        <f>IF(Q59="PS",H59,0)</f>
        <v>0</v>
      </c>
      <c r="U59" s="27">
        <f>IF(Q59="PS",I59-P59,0)</f>
        <v>0</v>
      </c>
      <c r="V59" s="27">
        <f>IF(Q59="MP",H59,0)</f>
        <v>0</v>
      </c>
      <c r="W59" s="27">
        <f>IF(Q59="MP",I59-P59,0)</f>
        <v>0</v>
      </c>
      <c r="X59" s="27">
        <f>IF(Q59="OM",H59,0)</f>
        <v>0</v>
      </c>
      <c r="Y59" s="22"/>
      <c r="AI59" s="27">
        <f>SUM(Z60:Z62)</f>
        <v>0</v>
      </c>
      <c r="AJ59" s="27">
        <f>SUM(AA60:AA62)</f>
        <v>0</v>
      </c>
      <c r="AK59" s="27">
        <f>SUM(AB60:AB62)</f>
        <v>0</v>
      </c>
    </row>
    <row r="60" spans="1:32" ht="12.75">
      <c r="A60" s="5" t="s">
        <v>46</v>
      </c>
      <c r="B60" s="5"/>
      <c r="C60" s="5" t="s">
        <v>102</v>
      </c>
      <c r="D60" s="5" t="s">
        <v>170</v>
      </c>
      <c r="E60" s="5" t="s">
        <v>193</v>
      </c>
      <c r="F60" s="14">
        <v>1</v>
      </c>
      <c r="G60" s="14">
        <v>0</v>
      </c>
      <c r="H60" s="14">
        <f>ROUND(F60*AE60,2)</f>
        <v>0</v>
      </c>
      <c r="I60" s="14">
        <f>J60-H60</f>
        <v>0</v>
      </c>
      <c r="J60" s="14">
        <f>ROUND(F60*G60,2)</f>
        <v>0</v>
      </c>
      <c r="K60" s="14">
        <v>0.03816</v>
      </c>
      <c r="L60" s="14">
        <f>F60*K60</f>
        <v>0.03816</v>
      </c>
      <c r="N60" s="25" t="s">
        <v>6</v>
      </c>
      <c r="O60" s="14">
        <f>IF(N60="5",I60,0)</f>
        <v>0</v>
      </c>
      <c r="Z60" s="14">
        <f>IF(AD60=0,J60,0)</f>
        <v>0</v>
      </c>
      <c r="AA60" s="14">
        <f>IF(AD60=14,J60,0)</f>
        <v>0</v>
      </c>
      <c r="AB60" s="14">
        <f>IF(AD60=20,J60,0)</f>
        <v>0</v>
      </c>
      <c r="AD60" s="14">
        <v>20</v>
      </c>
      <c r="AE60" s="14">
        <f>G60*0.953568413130778</f>
        <v>0</v>
      </c>
      <c r="AF60" s="14">
        <f>G60*(1-0.953568413130778)</f>
        <v>0</v>
      </c>
    </row>
    <row r="61" spans="1:32" ht="12.75">
      <c r="A61" s="5" t="s">
        <v>47</v>
      </c>
      <c r="B61" s="5"/>
      <c r="C61" s="5" t="s">
        <v>103</v>
      </c>
      <c r="D61" s="5" t="s">
        <v>171</v>
      </c>
      <c r="E61" s="5" t="s">
        <v>193</v>
      </c>
      <c r="F61" s="14">
        <v>1</v>
      </c>
      <c r="G61" s="14">
        <v>0</v>
      </c>
      <c r="H61" s="14">
        <f>ROUND(F61*AE61,2)</f>
        <v>0</v>
      </c>
      <c r="I61" s="14">
        <f>J61-H61</f>
        <v>0</v>
      </c>
      <c r="J61" s="14">
        <f>ROUND(F61*G61,2)</f>
        <v>0</v>
      </c>
      <c r="K61" s="14">
        <v>0.03825</v>
      </c>
      <c r="L61" s="14">
        <f>F61*K61</f>
        <v>0.03825</v>
      </c>
      <c r="N61" s="25" t="s">
        <v>6</v>
      </c>
      <c r="O61" s="14">
        <f>IF(N61="5",I61,0)</f>
        <v>0</v>
      </c>
      <c r="Z61" s="14">
        <f>IF(AD61=0,J61,0)</f>
        <v>0</v>
      </c>
      <c r="AA61" s="14">
        <f>IF(AD61=14,J61,0)</f>
        <v>0</v>
      </c>
      <c r="AB61" s="14">
        <f>IF(AD61=20,J61,0)</f>
        <v>0</v>
      </c>
      <c r="AD61" s="14">
        <v>20</v>
      </c>
      <c r="AE61" s="14">
        <f>G61*0.936675575903409</f>
        <v>0</v>
      </c>
      <c r="AF61" s="14">
        <f>G61*(1-0.936675575903409)</f>
        <v>0</v>
      </c>
    </row>
    <row r="62" spans="1:32" ht="12.75">
      <c r="A62" s="5" t="s">
        <v>48</v>
      </c>
      <c r="B62" s="5"/>
      <c r="C62" s="5" t="s">
        <v>104</v>
      </c>
      <c r="D62" s="5" t="s">
        <v>172</v>
      </c>
      <c r="E62" s="5" t="s">
        <v>193</v>
      </c>
      <c r="F62" s="14">
        <v>1</v>
      </c>
      <c r="G62" s="14">
        <v>0</v>
      </c>
      <c r="H62" s="14">
        <f>ROUND(F62*AE62,2)</f>
        <v>0</v>
      </c>
      <c r="I62" s="14">
        <f>J62-H62</f>
        <v>0</v>
      </c>
      <c r="J62" s="14">
        <f>ROUND(F62*G62,2)</f>
        <v>0</v>
      </c>
      <c r="K62" s="14">
        <v>0.03937</v>
      </c>
      <c r="L62" s="14">
        <f>F62*K62</f>
        <v>0.03937</v>
      </c>
      <c r="N62" s="25" t="s">
        <v>6</v>
      </c>
      <c r="O62" s="14">
        <f>IF(N62="5",I62,0)</f>
        <v>0</v>
      </c>
      <c r="Z62" s="14">
        <f>IF(AD62=0,J62,0)</f>
        <v>0</v>
      </c>
      <c r="AA62" s="14">
        <f>IF(AD62=14,J62,0)</f>
        <v>0</v>
      </c>
      <c r="AB62" s="14">
        <f>IF(AD62=20,J62,0)</f>
        <v>0</v>
      </c>
      <c r="AD62" s="14">
        <v>20</v>
      </c>
      <c r="AE62" s="14">
        <f>G62*0.845598196147717</f>
        <v>0</v>
      </c>
      <c r="AF62" s="14">
        <f>G62*(1-0.845598196147717)</f>
        <v>0</v>
      </c>
    </row>
    <row r="63" spans="1:37" ht="12.75">
      <c r="A63" s="6"/>
      <c r="B63" s="6"/>
      <c r="C63" s="12" t="s">
        <v>105</v>
      </c>
      <c r="D63" s="75" t="s">
        <v>173</v>
      </c>
      <c r="E63" s="76"/>
      <c r="F63" s="76"/>
      <c r="G63" s="76"/>
      <c r="H63" s="27">
        <f>SUM(H64:H64)</f>
        <v>0</v>
      </c>
      <c r="I63" s="27">
        <f>SUM(I64:I64)</f>
        <v>0</v>
      </c>
      <c r="J63" s="27">
        <f>H63+I63</f>
        <v>0</v>
      </c>
      <c r="K63" s="22"/>
      <c r="L63" s="27">
        <f>SUM(L64:L64)</f>
        <v>45.449999999999996</v>
      </c>
      <c r="P63" s="27">
        <f>IF(Q63="PR",J63,SUM(O64:O64))</f>
        <v>0</v>
      </c>
      <c r="Q63" s="22" t="s">
        <v>212</v>
      </c>
      <c r="R63" s="27">
        <f>IF(Q63="HS",H63,0)</f>
        <v>0</v>
      </c>
      <c r="S63" s="27">
        <f>IF(Q63="HS",I63-P63,0)</f>
        <v>0</v>
      </c>
      <c r="T63" s="27">
        <f>IF(Q63="PS",H63,0)</f>
        <v>0</v>
      </c>
      <c r="U63" s="27">
        <f>IF(Q63="PS",I63-P63,0)</f>
        <v>0</v>
      </c>
      <c r="V63" s="27">
        <f>IF(Q63="MP",H63,0)</f>
        <v>0</v>
      </c>
      <c r="W63" s="27">
        <f>IF(Q63="MP",I63-P63,0)</f>
        <v>0</v>
      </c>
      <c r="X63" s="27">
        <f>IF(Q63="OM",H63,0)</f>
        <v>0</v>
      </c>
      <c r="Y63" s="22"/>
      <c r="AI63" s="27">
        <f>SUM(Z64:Z64)</f>
        <v>0</v>
      </c>
      <c r="AJ63" s="27">
        <f>SUM(AA64:AA64)</f>
        <v>0</v>
      </c>
      <c r="AK63" s="27">
        <f>SUM(AB64:AB64)</f>
        <v>0</v>
      </c>
    </row>
    <row r="64" spans="1:32" ht="12.75">
      <c r="A64" s="5" t="s">
        <v>49</v>
      </c>
      <c r="B64" s="5"/>
      <c r="C64" s="5" t="s">
        <v>106</v>
      </c>
      <c r="D64" s="5" t="s">
        <v>174</v>
      </c>
      <c r="E64" s="5" t="s">
        <v>189</v>
      </c>
      <c r="F64" s="14">
        <v>18</v>
      </c>
      <c r="G64" s="14">
        <v>0</v>
      </c>
      <c r="H64" s="14">
        <f>ROUND(F64*AE64,2)</f>
        <v>0</v>
      </c>
      <c r="I64" s="14">
        <f>J64-H64</f>
        <v>0</v>
      </c>
      <c r="J64" s="14">
        <f>ROUND(F64*G64,2)</f>
        <v>0</v>
      </c>
      <c r="K64" s="14">
        <v>2.525</v>
      </c>
      <c r="L64" s="14">
        <f>F64*K64</f>
        <v>45.449999999999996</v>
      </c>
      <c r="N64" s="25" t="s">
        <v>6</v>
      </c>
      <c r="O64" s="14">
        <f>IF(N64="5",I64,0)</f>
        <v>0</v>
      </c>
      <c r="Z64" s="14">
        <f>IF(AD64=0,J64,0)</f>
        <v>0</v>
      </c>
      <c r="AA64" s="14">
        <f>IF(AD64=14,J64,0)</f>
        <v>0</v>
      </c>
      <c r="AB64" s="14">
        <f>IF(AD64=20,J64,0)</f>
        <v>0</v>
      </c>
      <c r="AD64" s="14">
        <v>20</v>
      </c>
      <c r="AE64" s="14">
        <f>G64*0.642713745866793</f>
        <v>0</v>
      </c>
      <c r="AF64" s="14">
        <f>G64*(1-0.642713745866793)</f>
        <v>0</v>
      </c>
    </row>
    <row r="65" spans="1:37" ht="12.75">
      <c r="A65" s="6"/>
      <c r="B65" s="6"/>
      <c r="C65" s="12" t="s">
        <v>107</v>
      </c>
      <c r="D65" s="75" t="s">
        <v>175</v>
      </c>
      <c r="E65" s="76"/>
      <c r="F65" s="76"/>
      <c r="G65" s="76"/>
      <c r="H65" s="27">
        <f>SUM(H66:H66)</f>
        <v>0</v>
      </c>
      <c r="I65" s="27">
        <f>SUM(I66:I66)</f>
        <v>0</v>
      </c>
      <c r="J65" s="27">
        <f>H65+I65</f>
        <v>0</v>
      </c>
      <c r="K65" s="22"/>
      <c r="L65" s="27">
        <f>SUM(L66:L66)</f>
        <v>0</v>
      </c>
      <c r="P65" s="27">
        <f>IF(Q65="PR",J65,SUM(O66:O66))</f>
        <v>0</v>
      </c>
      <c r="Q65" s="22" t="s">
        <v>212</v>
      </c>
      <c r="R65" s="27">
        <f>IF(Q65="HS",H65,0)</f>
        <v>0</v>
      </c>
      <c r="S65" s="27">
        <f>IF(Q65="HS",I65-P65,0)</f>
        <v>0</v>
      </c>
      <c r="T65" s="27">
        <f>IF(Q65="PS",H65,0)</f>
        <v>0</v>
      </c>
      <c r="U65" s="27">
        <f>IF(Q65="PS",I65-P65,0)</f>
        <v>0</v>
      </c>
      <c r="V65" s="27">
        <f>IF(Q65="MP",H65,0)</f>
        <v>0</v>
      </c>
      <c r="W65" s="27">
        <f>IF(Q65="MP",I65-P65,0)</f>
        <v>0</v>
      </c>
      <c r="X65" s="27">
        <f>IF(Q65="OM",H65,0)</f>
        <v>0</v>
      </c>
      <c r="Y65" s="22"/>
      <c r="AI65" s="27">
        <f>SUM(Z66:Z66)</f>
        <v>0</v>
      </c>
      <c r="AJ65" s="27">
        <f>SUM(AA66:AA66)</f>
        <v>0</v>
      </c>
      <c r="AK65" s="27">
        <f>SUM(AB66:AB66)</f>
        <v>0</v>
      </c>
    </row>
    <row r="66" spans="1:32" ht="12.75">
      <c r="A66" s="5" t="s">
        <v>50</v>
      </c>
      <c r="B66" s="5"/>
      <c r="C66" s="5" t="s">
        <v>108</v>
      </c>
      <c r="D66" s="5" t="s">
        <v>176</v>
      </c>
      <c r="E66" s="5" t="s">
        <v>195</v>
      </c>
      <c r="F66" s="14">
        <v>50</v>
      </c>
      <c r="G66" s="14">
        <v>0</v>
      </c>
      <c r="H66" s="14">
        <f>ROUND(F66*AE66,2)</f>
        <v>0</v>
      </c>
      <c r="I66" s="14">
        <f>J66-H66</f>
        <v>0</v>
      </c>
      <c r="J66" s="14">
        <f>ROUND(F66*G66,2)</f>
        <v>0</v>
      </c>
      <c r="K66" s="14">
        <v>0</v>
      </c>
      <c r="L66" s="14">
        <f>F66*K66</f>
        <v>0</v>
      </c>
      <c r="N66" s="25" t="s">
        <v>6</v>
      </c>
      <c r="O66" s="14">
        <f>IF(N66="5",I66,0)</f>
        <v>0</v>
      </c>
      <c r="Z66" s="14">
        <f>IF(AD66=0,J66,0)</f>
        <v>0</v>
      </c>
      <c r="AA66" s="14">
        <f>IF(AD66=14,J66,0)</f>
        <v>0</v>
      </c>
      <c r="AB66" s="14">
        <f>IF(AD66=20,J66,0)</f>
        <v>0</v>
      </c>
      <c r="AD66" s="14">
        <v>20</v>
      </c>
      <c r="AE66" s="14">
        <f>G66*0</f>
        <v>0</v>
      </c>
      <c r="AF66" s="14">
        <f>G66*(1-0)</f>
        <v>0</v>
      </c>
    </row>
    <row r="67" spans="1:37" ht="12.75">
      <c r="A67" s="6"/>
      <c r="B67" s="6"/>
      <c r="C67" s="12" t="s">
        <v>109</v>
      </c>
      <c r="D67" s="75" t="s">
        <v>177</v>
      </c>
      <c r="E67" s="76"/>
      <c r="F67" s="76"/>
      <c r="G67" s="76"/>
      <c r="H67" s="27">
        <f>SUM(H68:H68)</f>
        <v>0</v>
      </c>
      <c r="I67" s="27">
        <f>SUM(I68:I68)</f>
        <v>0</v>
      </c>
      <c r="J67" s="27">
        <f>H67+I67</f>
        <v>0</v>
      </c>
      <c r="K67" s="22"/>
      <c r="L67" s="27">
        <f>SUM(L68:L68)</f>
        <v>0.00075</v>
      </c>
      <c r="P67" s="27">
        <f>IF(Q67="PR",J67,SUM(O68:O68))</f>
        <v>0</v>
      </c>
      <c r="Q67" s="22" t="s">
        <v>212</v>
      </c>
      <c r="R67" s="27">
        <f>IF(Q67="HS",H67,0)</f>
        <v>0</v>
      </c>
      <c r="S67" s="27">
        <f>IF(Q67="HS",I67-P67,0)</f>
        <v>0</v>
      </c>
      <c r="T67" s="27">
        <f>IF(Q67="PS",H67,0)</f>
        <v>0</v>
      </c>
      <c r="U67" s="27">
        <f>IF(Q67="PS",I67-P67,0)</f>
        <v>0</v>
      </c>
      <c r="V67" s="27">
        <f>IF(Q67="MP",H67,0)</f>
        <v>0</v>
      </c>
      <c r="W67" s="27">
        <f>IF(Q67="MP",I67-P67,0)</f>
        <v>0</v>
      </c>
      <c r="X67" s="27">
        <f>IF(Q67="OM",H67,0)</f>
        <v>0</v>
      </c>
      <c r="Y67" s="22"/>
      <c r="AI67" s="27">
        <f>SUM(Z68:Z68)</f>
        <v>0</v>
      </c>
      <c r="AJ67" s="27">
        <f>SUM(AA68:AA68)</f>
        <v>0</v>
      </c>
      <c r="AK67" s="27">
        <f>SUM(AB68:AB68)</f>
        <v>0</v>
      </c>
    </row>
    <row r="68" spans="1:32" ht="12.75">
      <c r="A68" s="5" t="s">
        <v>51</v>
      </c>
      <c r="B68" s="5"/>
      <c r="C68" s="5" t="s">
        <v>110</v>
      </c>
      <c r="D68" s="5" t="s">
        <v>178</v>
      </c>
      <c r="E68" s="5" t="s">
        <v>191</v>
      </c>
      <c r="F68" s="14">
        <v>25</v>
      </c>
      <c r="G68" s="14">
        <v>0</v>
      </c>
      <c r="H68" s="14">
        <f>ROUND(F68*AE68,2)</f>
        <v>0</v>
      </c>
      <c r="I68" s="14">
        <f>J68-H68</f>
        <v>0</v>
      </c>
      <c r="J68" s="14">
        <f>ROUND(F68*G68,2)</f>
        <v>0</v>
      </c>
      <c r="K68" s="14">
        <v>3E-05</v>
      </c>
      <c r="L68" s="14">
        <f>F68*K68</f>
        <v>0.00075</v>
      </c>
      <c r="N68" s="25" t="s">
        <v>6</v>
      </c>
      <c r="O68" s="14">
        <f>IF(N68="5",I68,0)</f>
        <v>0</v>
      </c>
      <c r="Z68" s="14">
        <f>IF(AD68=0,J68,0)</f>
        <v>0</v>
      </c>
      <c r="AA68" s="14">
        <f>IF(AD68=14,J68,0)</f>
        <v>0</v>
      </c>
      <c r="AB68" s="14">
        <f>IF(AD68=20,J68,0)</f>
        <v>0</v>
      </c>
      <c r="AD68" s="14">
        <v>20</v>
      </c>
      <c r="AE68" s="14">
        <f>G68*0.381728187247004</f>
        <v>0</v>
      </c>
      <c r="AF68" s="14">
        <f>G68*(1-0.381728187247004)</f>
        <v>0</v>
      </c>
    </row>
    <row r="69" spans="1:37" ht="12.75">
      <c r="A69" s="6"/>
      <c r="B69" s="6"/>
      <c r="C69" s="12" t="s">
        <v>111</v>
      </c>
      <c r="D69" s="75" t="s">
        <v>179</v>
      </c>
      <c r="E69" s="76"/>
      <c r="F69" s="76"/>
      <c r="G69" s="76"/>
      <c r="H69" s="27">
        <f>SUM(H70:H70)</f>
        <v>0</v>
      </c>
      <c r="I69" s="27">
        <f>SUM(I70:I70)</f>
        <v>0</v>
      </c>
      <c r="J69" s="27">
        <f>H69+I69</f>
        <v>0</v>
      </c>
      <c r="K69" s="22"/>
      <c r="L69" s="27">
        <f>SUM(L70:L70)</f>
        <v>0</v>
      </c>
      <c r="P69" s="27">
        <f>IF(Q69="PR",J69,SUM(O70:O70))</f>
        <v>0</v>
      </c>
      <c r="Q69" s="22" t="s">
        <v>214</v>
      </c>
      <c r="R69" s="27">
        <f>IF(Q69="HS",H69,0)</f>
        <v>0</v>
      </c>
      <c r="S69" s="27">
        <f>IF(Q69="HS",I69-P69,0)</f>
        <v>0</v>
      </c>
      <c r="T69" s="27">
        <f>IF(Q69="PS",H69,0)</f>
        <v>0</v>
      </c>
      <c r="U69" s="27">
        <f>IF(Q69="PS",I69-P69,0)</f>
        <v>0</v>
      </c>
      <c r="V69" s="27">
        <f>IF(Q69="MP",H69,0)</f>
        <v>0</v>
      </c>
      <c r="W69" s="27">
        <f>IF(Q69="MP",I69-P69,0)</f>
        <v>0</v>
      </c>
      <c r="X69" s="27">
        <f>IF(Q69="OM",H69,0)</f>
        <v>0</v>
      </c>
      <c r="Y69" s="22"/>
      <c r="AI69" s="27">
        <f>SUM(Z70:Z70)</f>
        <v>0</v>
      </c>
      <c r="AJ69" s="27">
        <f>SUM(AA70:AA70)</f>
        <v>0</v>
      </c>
      <c r="AK69" s="27">
        <f>SUM(AB70:AB70)</f>
        <v>0</v>
      </c>
    </row>
    <row r="70" spans="1:32" ht="12.75">
      <c r="A70" s="5" t="s">
        <v>52</v>
      </c>
      <c r="B70" s="5"/>
      <c r="C70" s="5" t="s">
        <v>112</v>
      </c>
      <c r="D70" s="5" t="s">
        <v>180</v>
      </c>
      <c r="E70" s="5" t="s">
        <v>196</v>
      </c>
      <c r="F70" s="14">
        <v>68.366</v>
      </c>
      <c r="G70" s="14">
        <v>0</v>
      </c>
      <c r="H70" s="14">
        <f>ROUND(F70*AE70,2)</f>
        <v>0</v>
      </c>
      <c r="I70" s="14">
        <f>J70-H70</f>
        <v>0</v>
      </c>
      <c r="J70" s="14">
        <f>ROUND(F70*G70,2)</f>
        <v>0</v>
      </c>
      <c r="K70" s="14">
        <v>0</v>
      </c>
      <c r="L70" s="14">
        <f>F70*K70</f>
        <v>0</v>
      </c>
      <c r="N70" s="25" t="s">
        <v>10</v>
      </c>
      <c r="O70" s="14">
        <f>IF(N70="5",I70,0)</f>
        <v>0</v>
      </c>
      <c r="Z70" s="14">
        <f>IF(AD70=0,J70,0)</f>
        <v>0</v>
      </c>
      <c r="AA70" s="14">
        <f>IF(AD70=14,J70,0)</f>
        <v>0</v>
      </c>
      <c r="AB70" s="14">
        <f>IF(AD70=20,J70,0)</f>
        <v>0</v>
      </c>
      <c r="AD70" s="14">
        <v>20</v>
      </c>
      <c r="AE70" s="14">
        <f>G70*0</f>
        <v>0</v>
      </c>
      <c r="AF70" s="14">
        <f>G70*(1-0)</f>
        <v>0</v>
      </c>
    </row>
    <row r="71" spans="1:37" ht="12.75">
      <c r="A71" s="6"/>
      <c r="B71" s="6"/>
      <c r="C71" s="12" t="s">
        <v>113</v>
      </c>
      <c r="D71" s="75" t="s">
        <v>138</v>
      </c>
      <c r="E71" s="76"/>
      <c r="F71" s="76"/>
      <c r="G71" s="76"/>
      <c r="H71" s="27">
        <f>SUM(H72:H72)</f>
        <v>0</v>
      </c>
      <c r="I71" s="27">
        <f>SUM(I72:I72)</f>
        <v>0</v>
      </c>
      <c r="J71" s="27">
        <f>H71+I71</f>
        <v>0</v>
      </c>
      <c r="K71" s="22"/>
      <c r="L71" s="27">
        <f>SUM(L72:L72)</f>
        <v>0</v>
      </c>
      <c r="P71" s="27">
        <f>IF(Q71="PR",J71,SUM(O72:O72))</f>
        <v>0</v>
      </c>
      <c r="Q71" s="22" t="s">
        <v>214</v>
      </c>
      <c r="R71" s="27">
        <f>IF(Q71="HS",H71,0)</f>
        <v>0</v>
      </c>
      <c r="S71" s="27">
        <f>IF(Q71="HS",I71-P71,0)</f>
        <v>0</v>
      </c>
      <c r="T71" s="27">
        <f>IF(Q71="PS",H71,0)</f>
        <v>0</v>
      </c>
      <c r="U71" s="27">
        <f>IF(Q71="PS",I71-P71,0)</f>
        <v>0</v>
      </c>
      <c r="V71" s="27">
        <f>IF(Q71="MP",H71,0)</f>
        <v>0</v>
      </c>
      <c r="W71" s="27">
        <f>IF(Q71="MP",I71-P71,0)</f>
        <v>0</v>
      </c>
      <c r="X71" s="27">
        <f>IF(Q71="OM",H71,0)</f>
        <v>0</v>
      </c>
      <c r="Y71" s="22"/>
      <c r="AI71" s="27">
        <f>SUM(Z72:Z72)</f>
        <v>0</v>
      </c>
      <c r="AJ71" s="27">
        <f>SUM(AA72:AA72)</f>
        <v>0</v>
      </c>
      <c r="AK71" s="27">
        <f>SUM(AB72:AB72)</f>
        <v>0</v>
      </c>
    </row>
    <row r="72" spans="1:32" ht="12.75">
      <c r="A72" s="5" t="s">
        <v>53</v>
      </c>
      <c r="B72" s="5"/>
      <c r="C72" s="5" t="s">
        <v>114</v>
      </c>
      <c r="D72" s="5" t="s">
        <v>181</v>
      </c>
      <c r="E72" s="5" t="s">
        <v>196</v>
      </c>
      <c r="F72" s="14">
        <v>0.0589</v>
      </c>
      <c r="G72" s="14">
        <v>0</v>
      </c>
      <c r="H72" s="14">
        <f>ROUND(F72*AE72,2)</f>
        <v>0</v>
      </c>
      <c r="I72" s="14">
        <f>J72-H72</f>
        <v>0</v>
      </c>
      <c r="J72" s="14">
        <f>ROUND(F72*G72,2)</f>
        <v>0</v>
      </c>
      <c r="K72" s="14">
        <v>0</v>
      </c>
      <c r="L72" s="14">
        <f>F72*K72</f>
        <v>0</v>
      </c>
      <c r="N72" s="25" t="s">
        <v>10</v>
      </c>
      <c r="O72" s="14">
        <f>IF(N72="5",I72,0)</f>
        <v>0</v>
      </c>
      <c r="Z72" s="14">
        <f>IF(AD72=0,J72,0)</f>
        <v>0</v>
      </c>
      <c r="AA72" s="14">
        <f>IF(AD72=14,J72,0)</f>
        <v>0</v>
      </c>
      <c r="AB72" s="14">
        <f>IF(AD72=20,J72,0)</f>
        <v>0</v>
      </c>
      <c r="AD72" s="14">
        <v>20</v>
      </c>
      <c r="AE72" s="14">
        <f>G72*0</f>
        <v>0</v>
      </c>
      <c r="AF72" s="14">
        <f>G72*(1-0)</f>
        <v>0</v>
      </c>
    </row>
    <row r="73" spans="1:37" ht="12.75">
      <c r="A73" s="6"/>
      <c r="B73" s="6"/>
      <c r="C73" s="12" t="s">
        <v>115</v>
      </c>
      <c r="D73" s="75" t="s">
        <v>152</v>
      </c>
      <c r="E73" s="76"/>
      <c r="F73" s="76"/>
      <c r="G73" s="76"/>
      <c r="H73" s="27">
        <f>SUM(H74:H74)</f>
        <v>0</v>
      </c>
      <c r="I73" s="27">
        <f>SUM(I74:I74)</f>
        <v>0</v>
      </c>
      <c r="J73" s="27">
        <f>H73+I73</f>
        <v>0</v>
      </c>
      <c r="K73" s="22"/>
      <c r="L73" s="27">
        <f>SUM(L74:L74)</f>
        <v>0</v>
      </c>
      <c r="P73" s="27">
        <f>IF(Q73="PR",J73,SUM(O74:O74))</f>
        <v>0</v>
      </c>
      <c r="Q73" s="22" t="s">
        <v>214</v>
      </c>
      <c r="R73" s="27">
        <f>IF(Q73="HS",H73,0)</f>
        <v>0</v>
      </c>
      <c r="S73" s="27">
        <f>IF(Q73="HS",I73-P73,0)</f>
        <v>0</v>
      </c>
      <c r="T73" s="27">
        <f>IF(Q73="PS",H73,0)</f>
        <v>0</v>
      </c>
      <c r="U73" s="27">
        <f>IF(Q73="PS",I73-P73,0)</f>
        <v>0</v>
      </c>
      <c r="V73" s="27">
        <f>IF(Q73="MP",H73,0)</f>
        <v>0</v>
      </c>
      <c r="W73" s="27">
        <f>IF(Q73="MP",I73-P73,0)</f>
        <v>0</v>
      </c>
      <c r="X73" s="27">
        <f>IF(Q73="OM",H73,0)</f>
        <v>0</v>
      </c>
      <c r="Y73" s="22"/>
      <c r="AI73" s="27">
        <f>SUM(Z74:Z74)</f>
        <v>0</v>
      </c>
      <c r="AJ73" s="27">
        <f>SUM(AA74:AA74)</f>
        <v>0</v>
      </c>
      <c r="AK73" s="27">
        <f>SUM(AB74:AB74)</f>
        <v>0</v>
      </c>
    </row>
    <row r="74" spans="1:32" ht="12.75">
      <c r="A74" s="5" t="s">
        <v>54</v>
      </c>
      <c r="B74" s="5"/>
      <c r="C74" s="5" t="s">
        <v>116</v>
      </c>
      <c r="D74" s="5" t="s">
        <v>182</v>
      </c>
      <c r="E74" s="5" t="s">
        <v>196</v>
      </c>
      <c r="F74" s="14">
        <v>0.7501</v>
      </c>
      <c r="G74" s="14">
        <v>0</v>
      </c>
      <c r="H74" s="14">
        <f>ROUND(F74*AE74,2)</f>
        <v>0</v>
      </c>
      <c r="I74" s="14">
        <f>J74-H74</f>
        <v>0</v>
      </c>
      <c r="J74" s="14">
        <f>ROUND(F74*G74,2)</f>
        <v>0</v>
      </c>
      <c r="K74" s="14">
        <v>0</v>
      </c>
      <c r="L74" s="14">
        <f>F74*K74</f>
        <v>0</v>
      </c>
      <c r="N74" s="25" t="s">
        <v>10</v>
      </c>
      <c r="O74" s="14">
        <f>IF(N74="5",I74,0)</f>
        <v>0</v>
      </c>
      <c r="Z74" s="14">
        <f>IF(AD74=0,J74,0)</f>
        <v>0</v>
      </c>
      <c r="AA74" s="14">
        <f>IF(AD74=14,J74,0)</f>
        <v>0</v>
      </c>
      <c r="AB74" s="14">
        <f>IF(AD74=20,J74,0)</f>
        <v>0</v>
      </c>
      <c r="AD74" s="14">
        <v>20</v>
      </c>
      <c r="AE74" s="14">
        <f>G74*0</f>
        <v>0</v>
      </c>
      <c r="AF74" s="14">
        <f>G74*(1-0)</f>
        <v>0</v>
      </c>
    </row>
    <row r="75" spans="1:37" ht="12.75">
      <c r="A75" s="6"/>
      <c r="B75" s="6"/>
      <c r="C75" s="12" t="s">
        <v>117</v>
      </c>
      <c r="D75" s="75" t="s">
        <v>169</v>
      </c>
      <c r="E75" s="76"/>
      <c r="F75" s="76"/>
      <c r="G75" s="76"/>
      <c r="H75" s="27">
        <f>SUM(H76:H76)</f>
        <v>0</v>
      </c>
      <c r="I75" s="27">
        <v>0</v>
      </c>
      <c r="J75" s="27">
        <v>0</v>
      </c>
      <c r="K75" s="22"/>
      <c r="L75" s="27">
        <f>SUM(L76:L76)</f>
        <v>0</v>
      </c>
      <c r="P75" s="27">
        <f>IF(Q75="PR",J75,SUM(O76:O76))</f>
        <v>0</v>
      </c>
      <c r="Q75" s="22" t="s">
        <v>214</v>
      </c>
      <c r="R75" s="27">
        <f>IF(Q75="HS",H75,0)</f>
        <v>0</v>
      </c>
      <c r="S75" s="27">
        <f>IF(Q75="HS",I75-P75,0)</f>
        <v>0</v>
      </c>
      <c r="T75" s="27">
        <f>IF(Q75="PS",H75,0)</f>
        <v>0</v>
      </c>
      <c r="U75" s="27">
        <f>IF(Q75="PS",I75-P75,0)</f>
        <v>0</v>
      </c>
      <c r="V75" s="27">
        <f>IF(Q75="MP",H75,0)</f>
        <v>0</v>
      </c>
      <c r="W75" s="27">
        <f>IF(Q75="MP",I75-P75,0)</f>
        <v>0</v>
      </c>
      <c r="X75" s="27">
        <f>IF(Q75="OM",H75,0)</f>
        <v>0</v>
      </c>
      <c r="Y75" s="22"/>
      <c r="AI75" s="27">
        <f>SUM(Z76:Z76)</f>
        <v>0</v>
      </c>
      <c r="AJ75" s="27">
        <f>SUM(AA76:AA76)</f>
        <v>0</v>
      </c>
      <c r="AK75" s="27">
        <f>SUM(AB76:AB76)</f>
        <v>0</v>
      </c>
    </row>
    <row r="76" spans="1:32" ht="12.75">
      <c r="A76" s="7" t="s">
        <v>55</v>
      </c>
      <c r="B76" s="7"/>
      <c r="C76" s="7" t="s">
        <v>118</v>
      </c>
      <c r="D76" s="7" t="s">
        <v>183</v>
      </c>
      <c r="E76" s="7" t="s">
        <v>196</v>
      </c>
      <c r="F76" s="15">
        <v>0.1158</v>
      </c>
      <c r="G76" s="15">
        <v>0</v>
      </c>
      <c r="H76" s="15" t="s">
        <v>281</v>
      </c>
      <c r="I76" s="15">
        <v>0</v>
      </c>
      <c r="J76" s="15">
        <f>ROUND(F76*G76,2)</f>
        <v>0</v>
      </c>
      <c r="K76" s="15">
        <v>0</v>
      </c>
      <c r="L76" s="15">
        <f>F76*K76</f>
        <v>0</v>
      </c>
      <c r="N76" s="25" t="s">
        <v>10</v>
      </c>
      <c r="O76" s="14">
        <f>IF(N76="5",I76,0)</f>
        <v>0</v>
      </c>
      <c r="Z76" s="14">
        <f>IF(AD76=0,J76,0)</f>
        <v>0</v>
      </c>
      <c r="AA76" s="14">
        <f>IF(AD76=14,J76,0)</f>
        <v>0</v>
      </c>
      <c r="AB76" s="14">
        <f>IF(AD76=20,J76,0)</f>
        <v>0</v>
      </c>
      <c r="AD76" s="14">
        <v>20</v>
      </c>
      <c r="AE76" s="14">
        <f>G76*0</f>
        <v>0</v>
      </c>
      <c r="AF76" s="14">
        <f>G76*(1-0)</f>
        <v>0</v>
      </c>
    </row>
    <row r="77" spans="1:28" ht="12.75">
      <c r="A77" s="8"/>
      <c r="B77" s="8"/>
      <c r="C77" s="8"/>
      <c r="D77" s="8"/>
      <c r="E77" s="8"/>
      <c r="F77" s="8"/>
      <c r="G77" s="8"/>
      <c r="H77" s="64" t="s">
        <v>202</v>
      </c>
      <c r="I77" s="77"/>
      <c r="J77" s="28">
        <f>J12+J14+J17+J21+J24+J27+J41+J59+J63+J65+J67+J69+J71+J73+J75</f>
        <v>0</v>
      </c>
      <c r="K77" s="8"/>
      <c r="L77" s="8"/>
      <c r="Z77" s="29">
        <f>SUM(Z13:Z76)</f>
        <v>0</v>
      </c>
      <c r="AA77" s="29">
        <f>SUM(AA13:AA76)</f>
        <v>0</v>
      </c>
      <c r="AB77" s="29">
        <f>SUM(AB13:AB76)</f>
        <v>0</v>
      </c>
    </row>
  </sheetData>
  <mergeCells count="43">
    <mergeCell ref="D75:G75"/>
    <mergeCell ref="H77:I77"/>
    <mergeCell ref="D67:G67"/>
    <mergeCell ref="D69:G69"/>
    <mergeCell ref="D71:G71"/>
    <mergeCell ref="D73:G73"/>
    <mergeCell ref="D41:G41"/>
    <mergeCell ref="D59:G59"/>
    <mergeCell ref="D63:G63"/>
    <mergeCell ref="D65:G65"/>
    <mergeCell ref="D17:G17"/>
    <mergeCell ref="D21:G21"/>
    <mergeCell ref="D24:G24"/>
    <mergeCell ref="D27:G27"/>
    <mergeCell ref="H10:J10"/>
    <mergeCell ref="K10:L10"/>
    <mergeCell ref="D12:G12"/>
    <mergeCell ref="D14:G14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26" sqref="E26"/>
    </sheetView>
  </sheetViews>
  <sheetFormatPr defaultColWidth="9.14062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  <col min="10" max="16384" width="11.421875" style="0" customWidth="1"/>
  </cols>
  <sheetData>
    <row r="1" spans="1:7" ht="21.75" customHeight="1">
      <c r="A1" s="55" t="s">
        <v>222</v>
      </c>
      <c r="B1" s="56"/>
      <c r="C1" s="56"/>
      <c r="D1" s="56"/>
      <c r="E1" s="56"/>
      <c r="F1" s="56"/>
      <c r="G1" s="37"/>
    </row>
    <row r="2" spans="1:8" ht="12.75">
      <c r="A2" s="57" t="s">
        <v>0</v>
      </c>
      <c r="B2" s="64" t="s">
        <v>119</v>
      </c>
      <c r="C2" s="77"/>
      <c r="D2" s="60" t="s">
        <v>203</v>
      </c>
      <c r="E2" s="60"/>
      <c r="F2" s="53"/>
      <c r="G2" s="67"/>
      <c r="H2" s="23"/>
    </row>
    <row r="3" spans="1:8" ht="12.75">
      <c r="A3" s="54"/>
      <c r="B3" s="65"/>
      <c r="C3" s="65"/>
      <c r="D3" s="58"/>
      <c r="E3" s="58"/>
      <c r="F3" s="58"/>
      <c r="G3" s="68"/>
      <c r="H3" s="23"/>
    </row>
    <row r="4" spans="1:8" ht="12.75">
      <c r="A4" s="59" t="s">
        <v>1</v>
      </c>
      <c r="B4" s="61" t="s">
        <v>120</v>
      </c>
      <c r="C4" s="58"/>
      <c r="D4" s="61" t="s">
        <v>204</v>
      </c>
      <c r="E4" s="61"/>
      <c r="F4" s="58"/>
      <c r="G4" s="68"/>
      <c r="H4" s="23"/>
    </row>
    <row r="5" spans="1:8" ht="12.75">
      <c r="A5" s="54"/>
      <c r="B5" s="58"/>
      <c r="C5" s="58"/>
      <c r="D5" s="58"/>
      <c r="E5" s="58"/>
      <c r="F5" s="58"/>
      <c r="G5" s="68"/>
      <c r="H5" s="23"/>
    </row>
    <row r="6" spans="1:8" ht="12.75">
      <c r="A6" s="59" t="s">
        <v>2</v>
      </c>
      <c r="B6" s="61" t="s">
        <v>121</v>
      </c>
      <c r="C6" s="58"/>
      <c r="D6" s="61" t="s">
        <v>205</v>
      </c>
      <c r="E6" s="61"/>
      <c r="F6" s="58"/>
      <c r="G6" s="68"/>
      <c r="H6" s="23"/>
    </row>
    <row r="7" spans="1:8" ht="12.75">
      <c r="A7" s="54"/>
      <c r="B7" s="58"/>
      <c r="C7" s="58"/>
      <c r="D7" s="58"/>
      <c r="E7" s="58"/>
      <c r="F7" s="58"/>
      <c r="G7" s="68"/>
      <c r="H7" s="23"/>
    </row>
    <row r="8" spans="1:8" ht="12.75">
      <c r="A8" s="59" t="s">
        <v>206</v>
      </c>
      <c r="B8" s="61"/>
      <c r="C8" s="58"/>
      <c r="D8" s="61" t="s">
        <v>187</v>
      </c>
      <c r="E8" s="66">
        <v>41164</v>
      </c>
      <c r="F8" s="58"/>
      <c r="G8" s="68"/>
      <c r="H8" s="23"/>
    </row>
    <row r="9" spans="1:8" ht="12.75">
      <c r="A9" s="62"/>
      <c r="B9" s="63"/>
      <c r="C9" s="63"/>
      <c r="D9" s="63"/>
      <c r="E9" s="63"/>
      <c r="F9" s="63"/>
      <c r="G9" s="69"/>
      <c r="H9" s="23"/>
    </row>
    <row r="10" spans="1:8" ht="12.75">
      <c r="A10" s="30" t="s">
        <v>56</v>
      </c>
      <c r="B10" s="32" t="s">
        <v>57</v>
      </c>
      <c r="C10" s="33" t="s">
        <v>122</v>
      </c>
      <c r="D10" s="34" t="s">
        <v>223</v>
      </c>
      <c r="E10" s="34" t="s">
        <v>224</v>
      </c>
      <c r="F10" s="34" t="s">
        <v>225</v>
      </c>
      <c r="G10" s="38" t="s">
        <v>226</v>
      </c>
      <c r="H10" s="24"/>
    </row>
    <row r="11" spans="1:9" ht="12.75">
      <c r="A11" s="31"/>
      <c r="B11" s="31" t="s">
        <v>18</v>
      </c>
      <c r="C11" s="31" t="s">
        <v>123</v>
      </c>
      <c r="D11" s="35">
        <v>0</v>
      </c>
      <c r="E11" s="35">
        <v>0</v>
      </c>
      <c r="F11" s="35">
        <f aca="true" t="shared" si="0" ref="F11:F25">D11+E11</f>
        <v>0</v>
      </c>
      <c r="G11" s="35">
        <v>0</v>
      </c>
      <c r="H11" s="14" t="s">
        <v>227</v>
      </c>
      <c r="I11" s="14">
        <f aca="true" t="shared" si="1" ref="I11:I25">IF(H11="T",0,F11)</f>
        <v>0</v>
      </c>
    </row>
    <row r="12" spans="1:9" ht="12.75">
      <c r="A12" s="5"/>
      <c r="B12" s="5" t="s">
        <v>20</v>
      </c>
      <c r="C12" s="5" t="s">
        <v>125</v>
      </c>
      <c r="D12" s="14">
        <v>0</v>
      </c>
      <c r="E12" s="14">
        <v>0</v>
      </c>
      <c r="F12" s="14">
        <f t="shared" si="0"/>
        <v>0</v>
      </c>
      <c r="G12" s="14">
        <v>0.1782</v>
      </c>
      <c r="H12" s="14" t="s">
        <v>227</v>
      </c>
      <c r="I12" s="14">
        <f t="shared" si="1"/>
        <v>0</v>
      </c>
    </row>
    <row r="13" spans="1:9" ht="12.75">
      <c r="A13" s="5"/>
      <c r="B13" s="5" t="s">
        <v>21</v>
      </c>
      <c r="C13" s="5" t="s">
        <v>128</v>
      </c>
      <c r="D13" s="14">
        <v>0</v>
      </c>
      <c r="E13" s="14">
        <v>0</v>
      </c>
      <c r="F13" s="14">
        <f t="shared" si="0"/>
        <v>0</v>
      </c>
      <c r="G13" s="14">
        <v>0</v>
      </c>
      <c r="H13" s="14" t="s">
        <v>227</v>
      </c>
      <c r="I13" s="14">
        <f t="shared" si="1"/>
        <v>0</v>
      </c>
    </row>
    <row r="14" spans="1:9" ht="12.75">
      <c r="A14" s="5"/>
      <c r="B14" s="5" t="s">
        <v>22</v>
      </c>
      <c r="C14" s="5" t="s">
        <v>132</v>
      </c>
      <c r="D14" s="14">
        <v>0</v>
      </c>
      <c r="E14" s="14">
        <v>0</v>
      </c>
      <c r="F14" s="14">
        <f t="shared" si="0"/>
        <v>0</v>
      </c>
      <c r="G14" s="14">
        <v>0</v>
      </c>
      <c r="H14" s="14" t="s">
        <v>227</v>
      </c>
      <c r="I14" s="14">
        <f t="shared" si="1"/>
        <v>0</v>
      </c>
    </row>
    <row r="15" spans="1:9" ht="12.75">
      <c r="A15" s="5"/>
      <c r="B15" s="5" t="s">
        <v>66</v>
      </c>
      <c r="C15" s="5" t="s">
        <v>135</v>
      </c>
      <c r="D15" s="14">
        <v>0</v>
      </c>
      <c r="E15" s="14">
        <v>0</v>
      </c>
      <c r="F15" s="14">
        <f t="shared" si="0"/>
        <v>0</v>
      </c>
      <c r="G15" s="14">
        <v>22.7298</v>
      </c>
      <c r="H15" s="14" t="s">
        <v>227</v>
      </c>
      <c r="I15" s="14">
        <f t="shared" si="1"/>
        <v>0</v>
      </c>
    </row>
    <row r="16" spans="1:9" ht="12.75">
      <c r="A16" s="5"/>
      <c r="B16" s="5" t="s">
        <v>69</v>
      </c>
      <c r="C16" s="5" t="s">
        <v>138</v>
      </c>
      <c r="D16" s="14">
        <v>0</v>
      </c>
      <c r="E16" s="14">
        <v>0</v>
      </c>
      <c r="F16" s="14">
        <f t="shared" si="0"/>
        <v>0</v>
      </c>
      <c r="G16" s="14">
        <v>0.05892</v>
      </c>
      <c r="H16" s="14" t="s">
        <v>227</v>
      </c>
      <c r="I16" s="14">
        <f t="shared" si="1"/>
        <v>0</v>
      </c>
    </row>
    <row r="17" spans="1:9" ht="12.75">
      <c r="A17" s="5"/>
      <c r="B17" s="5" t="s">
        <v>83</v>
      </c>
      <c r="C17" s="5" t="s">
        <v>152</v>
      </c>
      <c r="D17" s="14">
        <v>0</v>
      </c>
      <c r="E17" s="14">
        <v>0</v>
      </c>
      <c r="F17" s="14">
        <f t="shared" si="0"/>
        <v>0</v>
      </c>
      <c r="G17" s="14">
        <v>0.75011</v>
      </c>
      <c r="H17" s="14" t="s">
        <v>227</v>
      </c>
      <c r="I17" s="14">
        <f t="shared" si="1"/>
        <v>0</v>
      </c>
    </row>
    <row r="18" spans="1:9" ht="12.75">
      <c r="A18" s="5"/>
      <c r="B18" s="5" t="s">
        <v>101</v>
      </c>
      <c r="C18" s="5" t="s">
        <v>169</v>
      </c>
      <c r="D18" s="14">
        <v>0</v>
      </c>
      <c r="E18" s="14">
        <v>0</v>
      </c>
      <c r="F18" s="14">
        <f t="shared" si="0"/>
        <v>0</v>
      </c>
      <c r="G18" s="14">
        <v>0.11578</v>
      </c>
      <c r="H18" s="14" t="s">
        <v>227</v>
      </c>
      <c r="I18" s="14">
        <f t="shared" si="1"/>
        <v>0</v>
      </c>
    </row>
    <row r="19" spans="1:9" ht="12.75">
      <c r="A19" s="5"/>
      <c r="B19" s="5" t="s">
        <v>105</v>
      </c>
      <c r="C19" s="5" t="s">
        <v>173</v>
      </c>
      <c r="D19" s="14">
        <v>0</v>
      </c>
      <c r="E19" s="14">
        <v>0</v>
      </c>
      <c r="F19" s="14">
        <f t="shared" si="0"/>
        <v>0</v>
      </c>
      <c r="G19" s="14">
        <v>45.45</v>
      </c>
      <c r="H19" s="14" t="s">
        <v>227</v>
      </c>
      <c r="I19" s="14">
        <f t="shared" si="1"/>
        <v>0</v>
      </c>
    </row>
    <row r="20" spans="1:9" ht="12.75">
      <c r="A20" s="5"/>
      <c r="B20" s="5" t="s">
        <v>107</v>
      </c>
      <c r="C20" s="5" t="s">
        <v>175</v>
      </c>
      <c r="D20" s="14">
        <v>0</v>
      </c>
      <c r="E20" s="14">
        <v>0</v>
      </c>
      <c r="F20" s="14">
        <f t="shared" si="0"/>
        <v>0</v>
      </c>
      <c r="G20" s="14">
        <v>0</v>
      </c>
      <c r="H20" s="14" t="s">
        <v>227</v>
      </c>
      <c r="I20" s="14">
        <f t="shared" si="1"/>
        <v>0</v>
      </c>
    </row>
    <row r="21" spans="1:9" ht="12.75">
      <c r="A21" s="5"/>
      <c r="B21" s="5" t="s">
        <v>109</v>
      </c>
      <c r="C21" s="5" t="s">
        <v>177</v>
      </c>
      <c r="D21" s="14">
        <v>0</v>
      </c>
      <c r="E21" s="14">
        <v>0</v>
      </c>
      <c r="F21" s="14">
        <f t="shared" si="0"/>
        <v>0</v>
      </c>
      <c r="G21" s="14">
        <v>0.00075</v>
      </c>
      <c r="H21" s="14" t="s">
        <v>227</v>
      </c>
      <c r="I21" s="14">
        <f t="shared" si="1"/>
        <v>0</v>
      </c>
    </row>
    <row r="22" spans="1:9" ht="12.75">
      <c r="A22" s="5"/>
      <c r="B22" s="5" t="s">
        <v>111</v>
      </c>
      <c r="C22" s="5" t="s">
        <v>179</v>
      </c>
      <c r="D22" s="14">
        <v>0</v>
      </c>
      <c r="E22" s="14">
        <v>0</v>
      </c>
      <c r="F22" s="14">
        <f t="shared" si="0"/>
        <v>0</v>
      </c>
      <c r="G22" s="14">
        <v>0</v>
      </c>
      <c r="H22" s="14" t="s">
        <v>227</v>
      </c>
      <c r="I22" s="14">
        <f t="shared" si="1"/>
        <v>0</v>
      </c>
    </row>
    <row r="23" spans="1:9" ht="12.75">
      <c r="A23" s="5"/>
      <c r="B23" s="5" t="s">
        <v>113</v>
      </c>
      <c r="C23" s="5" t="s">
        <v>138</v>
      </c>
      <c r="D23" s="14">
        <v>0</v>
      </c>
      <c r="E23" s="14">
        <v>0</v>
      </c>
      <c r="F23" s="14">
        <f t="shared" si="0"/>
        <v>0</v>
      </c>
      <c r="G23" s="14">
        <v>0</v>
      </c>
      <c r="H23" s="14" t="s">
        <v>227</v>
      </c>
      <c r="I23" s="14">
        <f t="shared" si="1"/>
        <v>0</v>
      </c>
    </row>
    <row r="24" spans="1:9" ht="12.75">
      <c r="A24" s="5"/>
      <c r="B24" s="5" t="s">
        <v>115</v>
      </c>
      <c r="C24" s="5" t="s">
        <v>152</v>
      </c>
      <c r="D24" s="14">
        <v>0</v>
      </c>
      <c r="E24" s="14">
        <v>0</v>
      </c>
      <c r="F24" s="14">
        <f t="shared" si="0"/>
        <v>0</v>
      </c>
      <c r="G24" s="14">
        <v>0</v>
      </c>
      <c r="H24" s="14" t="s">
        <v>227</v>
      </c>
      <c r="I24" s="14">
        <f t="shared" si="1"/>
        <v>0</v>
      </c>
    </row>
    <row r="25" spans="1:9" ht="12.75">
      <c r="A25" s="5"/>
      <c r="B25" s="5" t="s">
        <v>117</v>
      </c>
      <c r="C25" s="5" t="s">
        <v>169</v>
      </c>
      <c r="D25" s="14">
        <v>0</v>
      </c>
      <c r="E25" s="14">
        <v>0</v>
      </c>
      <c r="F25" s="14">
        <f t="shared" si="0"/>
        <v>0</v>
      </c>
      <c r="G25" s="14">
        <v>0</v>
      </c>
      <c r="H25" s="14" t="s">
        <v>227</v>
      </c>
      <c r="I25" s="14">
        <f t="shared" si="1"/>
        <v>0</v>
      </c>
    </row>
    <row r="27" spans="5:6" ht="12.75">
      <c r="E27" s="36" t="s">
        <v>202</v>
      </c>
      <c r="F27" s="29">
        <f>SUM(I11:I25)</f>
        <v>0</v>
      </c>
    </row>
  </sheetData>
  <mergeCells count="17">
    <mergeCell ref="D8:D9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A1:F1"/>
    <mergeCell ref="A2:A3"/>
    <mergeCell ref="A4:A5"/>
    <mergeCell ref="A6:A7"/>
    <mergeCell ref="D2:D3"/>
    <mergeCell ref="D4:D5"/>
    <mergeCell ref="D6:D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H1"/>
    </sheetView>
  </sheetViews>
  <sheetFormatPr defaultColWidth="9.14062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  <col min="9" max="16384" width="11.421875" style="0" customWidth="1"/>
  </cols>
  <sheetData>
    <row r="1" spans="1:8" ht="21.75" customHeight="1">
      <c r="A1" s="55" t="s">
        <v>228</v>
      </c>
      <c r="B1" s="56"/>
      <c r="C1" s="56"/>
      <c r="D1" s="56"/>
      <c r="E1" s="56"/>
      <c r="F1" s="56"/>
      <c r="G1" s="56"/>
      <c r="H1" s="56"/>
    </row>
    <row r="2" spans="1:9" ht="12.75">
      <c r="A2" s="57" t="s">
        <v>0</v>
      </c>
      <c r="B2" s="64" t="s">
        <v>119</v>
      </c>
      <c r="C2" s="60" t="s">
        <v>184</v>
      </c>
      <c r="D2" s="60"/>
      <c r="E2" s="53"/>
      <c r="F2" s="60" t="s">
        <v>203</v>
      </c>
      <c r="G2" s="60"/>
      <c r="H2" s="67"/>
      <c r="I2" s="23"/>
    </row>
    <row r="3" spans="1:9" ht="12.75">
      <c r="A3" s="54"/>
      <c r="B3" s="65"/>
      <c r="C3" s="58"/>
      <c r="D3" s="58"/>
      <c r="E3" s="58"/>
      <c r="F3" s="58"/>
      <c r="G3" s="58"/>
      <c r="H3" s="68"/>
      <c r="I3" s="23"/>
    </row>
    <row r="4" spans="1:9" ht="12.75">
      <c r="A4" s="59" t="s">
        <v>1</v>
      </c>
      <c r="B4" s="61" t="s">
        <v>120</v>
      </c>
      <c r="C4" s="61" t="s">
        <v>185</v>
      </c>
      <c r="D4" s="66">
        <v>41164</v>
      </c>
      <c r="E4" s="58"/>
      <c r="F4" s="61" t="s">
        <v>204</v>
      </c>
      <c r="G4" s="61"/>
      <c r="H4" s="68"/>
      <c r="I4" s="23"/>
    </row>
    <row r="5" spans="1:9" ht="12.75">
      <c r="A5" s="54"/>
      <c r="B5" s="58"/>
      <c r="C5" s="58"/>
      <c r="D5" s="58"/>
      <c r="E5" s="58"/>
      <c r="F5" s="58"/>
      <c r="G5" s="58"/>
      <c r="H5" s="68"/>
      <c r="I5" s="23"/>
    </row>
    <row r="6" spans="1:9" ht="12.75">
      <c r="A6" s="59" t="s">
        <v>2</v>
      </c>
      <c r="B6" s="61" t="s">
        <v>121</v>
      </c>
      <c r="C6" s="61" t="s">
        <v>186</v>
      </c>
      <c r="D6" s="58"/>
      <c r="E6" s="58"/>
      <c r="F6" s="61" t="s">
        <v>205</v>
      </c>
      <c r="G6" s="61"/>
      <c r="H6" s="68"/>
      <c r="I6" s="23"/>
    </row>
    <row r="7" spans="1:9" ht="12.75">
      <c r="A7" s="54"/>
      <c r="B7" s="58"/>
      <c r="C7" s="58"/>
      <c r="D7" s="58"/>
      <c r="E7" s="58"/>
      <c r="F7" s="58"/>
      <c r="G7" s="58"/>
      <c r="H7" s="68"/>
      <c r="I7" s="23"/>
    </row>
    <row r="8" spans="1:9" ht="12.75">
      <c r="A8" s="59" t="s">
        <v>3</v>
      </c>
      <c r="B8" s="61"/>
      <c r="C8" s="61" t="s">
        <v>187</v>
      </c>
      <c r="D8" s="66">
        <v>41164</v>
      </c>
      <c r="E8" s="58"/>
      <c r="F8" s="61" t="s">
        <v>206</v>
      </c>
      <c r="G8" s="61"/>
      <c r="H8" s="68"/>
      <c r="I8" s="23"/>
    </row>
    <row r="9" spans="1:9" ht="12.75">
      <c r="A9" s="62"/>
      <c r="B9" s="63"/>
      <c r="C9" s="63"/>
      <c r="D9" s="63"/>
      <c r="E9" s="63"/>
      <c r="F9" s="63"/>
      <c r="G9" s="63"/>
      <c r="H9" s="69"/>
      <c r="I9" s="23"/>
    </row>
    <row r="10" spans="1:9" ht="12.75">
      <c r="A10" s="32" t="s">
        <v>57</v>
      </c>
      <c r="B10" s="33" t="s">
        <v>122</v>
      </c>
      <c r="C10" s="41" t="s">
        <v>229</v>
      </c>
      <c r="D10" s="41" t="s">
        <v>230</v>
      </c>
      <c r="E10" s="41" t="s">
        <v>231</v>
      </c>
      <c r="F10" s="41" t="s">
        <v>232</v>
      </c>
      <c r="G10" s="41" t="s">
        <v>233</v>
      </c>
      <c r="H10" s="40" t="s">
        <v>234</v>
      </c>
      <c r="I10" s="24"/>
    </row>
    <row r="11" spans="1:8" ht="12.75">
      <c r="A11" s="39"/>
      <c r="B11" s="39"/>
      <c r="C11" s="39"/>
      <c r="D11" s="39"/>
      <c r="E11" s="39"/>
      <c r="F11" s="39"/>
      <c r="G11" s="39"/>
      <c r="H11" s="39"/>
    </row>
  </sheetData>
  <mergeCells count="25">
    <mergeCell ref="F8:F9"/>
    <mergeCell ref="G2:H3"/>
    <mergeCell ref="G4:H5"/>
    <mergeCell ref="G6:H7"/>
    <mergeCell ref="G8:H9"/>
    <mergeCell ref="C8:C9"/>
    <mergeCell ref="D2:E3"/>
    <mergeCell ref="D4:E5"/>
    <mergeCell ref="D6:E7"/>
    <mergeCell ref="D8:E9"/>
    <mergeCell ref="A8:A9"/>
    <mergeCell ref="B2:B3"/>
    <mergeCell ref="B4:B5"/>
    <mergeCell ref="B6:B7"/>
    <mergeCell ref="B8:B9"/>
    <mergeCell ref="A1:H1"/>
    <mergeCell ref="A2:A3"/>
    <mergeCell ref="A4:A5"/>
    <mergeCell ref="A6:A7"/>
    <mergeCell ref="C2:C3"/>
    <mergeCell ref="C4:C5"/>
    <mergeCell ref="C6:C7"/>
    <mergeCell ref="F2:F3"/>
    <mergeCell ref="F4:F5"/>
    <mergeCell ref="F6:F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9" width="10.421875" style="0" customWidth="1"/>
    <col min="10" max="16384" width="11.421875" style="0" customWidth="1"/>
  </cols>
  <sheetData>
    <row r="1" spans="1:9" ht="21.75" customHeight="1">
      <c r="A1" s="55" t="s">
        <v>235</v>
      </c>
      <c r="B1" s="56"/>
      <c r="C1" s="56"/>
      <c r="D1" s="56"/>
      <c r="E1" s="56"/>
      <c r="F1" s="56"/>
      <c r="G1" s="56"/>
      <c r="H1" s="56"/>
      <c r="I1" s="37"/>
    </row>
    <row r="2" spans="1:10" ht="12.75">
      <c r="A2" s="57" t="s">
        <v>0</v>
      </c>
      <c r="B2" s="64" t="s">
        <v>119</v>
      </c>
      <c r="C2" s="77"/>
      <c r="D2" s="77"/>
      <c r="E2" s="60" t="s">
        <v>184</v>
      </c>
      <c r="F2" s="60"/>
      <c r="G2" s="60" t="s">
        <v>203</v>
      </c>
      <c r="H2" s="60"/>
      <c r="I2" s="67"/>
      <c r="J2" s="23"/>
    </row>
    <row r="3" spans="1:10" ht="12.75">
      <c r="A3" s="54"/>
      <c r="B3" s="65"/>
      <c r="C3" s="65"/>
      <c r="D3" s="65"/>
      <c r="E3" s="58"/>
      <c r="F3" s="58"/>
      <c r="G3" s="58"/>
      <c r="H3" s="58"/>
      <c r="I3" s="68"/>
      <c r="J3" s="23"/>
    </row>
    <row r="4" spans="1:10" ht="12.75">
      <c r="A4" s="59" t="s">
        <v>1</v>
      </c>
      <c r="B4" s="61" t="s">
        <v>120</v>
      </c>
      <c r="C4" s="58"/>
      <c r="D4" s="58"/>
      <c r="E4" s="61" t="s">
        <v>185</v>
      </c>
      <c r="F4" s="66">
        <v>41164</v>
      </c>
      <c r="G4" s="61" t="s">
        <v>204</v>
      </c>
      <c r="H4" s="61"/>
      <c r="I4" s="68"/>
      <c r="J4" s="23"/>
    </row>
    <row r="5" spans="1:10" ht="12.75">
      <c r="A5" s="54"/>
      <c r="B5" s="58"/>
      <c r="C5" s="58"/>
      <c r="D5" s="58"/>
      <c r="E5" s="58"/>
      <c r="F5" s="58"/>
      <c r="G5" s="58"/>
      <c r="H5" s="58"/>
      <c r="I5" s="68"/>
      <c r="J5" s="23"/>
    </row>
    <row r="6" spans="1:10" ht="12.75">
      <c r="A6" s="59" t="s">
        <v>2</v>
      </c>
      <c r="B6" s="61" t="s">
        <v>121</v>
      </c>
      <c r="C6" s="58"/>
      <c r="D6" s="58"/>
      <c r="E6" s="61" t="s">
        <v>186</v>
      </c>
      <c r="F6" s="58"/>
      <c r="G6" s="61" t="s">
        <v>205</v>
      </c>
      <c r="H6" s="61"/>
      <c r="I6" s="68"/>
      <c r="J6" s="23"/>
    </row>
    <row r="7" spans="1:10" ht="12.75">
      <c r="A7" s="54"/>
      <c r="B7" s="58"/>
      <c r="C7" s="58"/>
      <c r="D7" s="58"/>
      <c r="E7" s="58"/>
      <c r="F7" s="58"/>
      <c r="G7" s="58"/>
      <c r="H7" s="58"/>
      <c r="I7" s="68"/>
      <c r="J7" s="23"/>
    </row>
    <row r="8" spans="1:10" ht="12.75">
      <c r="A8" s="59" t="s">
        <v>3</v>
      </c>
      <c r="B8" s="61"/>
      <c r="C8" s="58"/>
      <c r="D8" s="58"/>
      <c r="E8" s="61" t="s">
        <v>187</v>
      </c>
      <c r="F8" s="66">
        <v>41164</v>
      </c>
      <c r="G8" s="61" t="s">
        <v>206</v>
      </c>
      <c r="H8" s="61"/>
      <c r="I8" s="68"/>
      <c r="J8" s="23"/>
    </row>
    <row r="9" spans="1:10" ht="12.75">
      <c r="A9" s="62"/>
      <c r="B9" s="63"/>
      <c r="C9" s="63"/>
      <c r="D9" s="63"/>
      <c r="E9" s="63"/>
      <c r="F9" s="63"/>
      <c r="G9" s="63"/>
      <c r="H9" s="63"/>
      <c r="I9" s="69"/>
      <c r="J9" s="23"/>
    </row>
    <row r="10" spans="1:10" ht="12.75">
      <c r="A10" s="42" t="s">
        <v>5</v>
      </c>
      <c r="B10" s="42" t="s">
        <v>56</v>
      </c>
      <c r="C10" s="32" t="s">
        <v>57</v>
      </c>
      <c r="D10" s="78" t="s">
        <v>122</v>
      </c>
      <c r="E10" s="79"/>
      <c r="F10" s="41" t="s">
        <v>236</v>
      </c>
      <c r="G10" s="41" t="s">
        <v>237</v>
      </c>
      <c r="H10" s="41" t="s">
        <v>238</v>
      </c>
      <c r="I10" s="40" t="s">
        <v>239</v>
      </c>
      <c r="J10" s="24"/>
    </row>
    <row r="11" spans="1:9" ht="12.75">
      <c r="A11" s="11"/>
      <c r="B11" s="11"/>
      <c r="C11" s="11" t="s">
        <v>18</v>
      </c>
      <c r="D11" s="73" t="s">
        <v>123</v>
      </c>
      <c r="E11" s="74"/>
      <c r="F11" s="26">
        <f>SUM(F12:F12)</f>
        <v>61958.7</v>
      </c>
      <c r="G11" s="26">
        <f>SUM(G12:G12)</f>
        <v>0</v>
      </c>
      <c r="H11" s="26">
        <f aca="true" t="shared" si="0" ref="H11:H42">G11-F11</f>
        <v>-61958.7</v>
      </c>
      <c r="I11" s="26">
        <f aca="true" t="shared" si="1" ref="I11:I42">H11/F11*100</f>
        <v>-100</v>
      </c>
    </row>
    <row r="12" spans="1:9" ht="12.75">
      <c r="A12" s="5" t="s">
        <v>6</v>
      </c>
      <c r="B12" s="5"/>
      <c r="C12" s="5" t="s">
        <v>58</v>
      </c>
      <c r="D12" s="61" t="s">
        <v>124</v>
      </c>
      <c r="E12" s="58"/>
      <c r="F12" s="14">
        <v>61958.7</v>
      </c>
      <c r="G12" s="14">
        <v>0</v>
      </c>
      <c r="H12" s="14">
        <f t="shared" si="0"/>
        <v>-61958.7</v>
      </c>
      <c r="I12" s="14">
        <f t="shared" si="1"/>
        <v>-100</v>
      </c>
    </row>
    <row r="13" spans="1:9" ht="12.75">
      <c r="A13" s="12"/>
      <c r="B13" s="12"/>
      <c r="C13" s="12" t="s">
        <v>20</v>
      </c>
      <c r="D13" s="75" t="s">
        <v>125</v>
      </c>
      <c r="E13" s="76"/>
      <c r="F13" s="27">
        <f>SUM(F14:F15)</f>
        <v>19044</v>
      </c>
      <c r="G13" s="27">
        <f>SUM(G14:G15)</f>
        <v>0</v>
      </c>
      <c r="H13" s="27">
        <f t="shared" si="0"/>
        <v>-19044</v>
      </c>
      <c r="I13" s="27">
        <f t="shared" si="1"/>
        <v>-100</v>
      </c>
    </row>
    <row r="14" spans="1:9" ht="12.75">
      <c r="A14" s="5" t="s">
        <v>7</v>
      </c>
      <c r="B14" s="5"/>
      <c r="C14" s="5" t="s">
        <v>59</v>
      </c>
      <c r="D14" s="61" t="s">
        <v>126</v>
      </c>
      <c r="E14" s="58"/>
      <c r="F14" s="14">
        <v>15706.8</v>
      </c>
      <c r="G14" s="14">
        <v>0</v>
      </c>
      <c r="H14" s="14">
        <f t="shared" si="0"/>
        <v>-15706.8</v>
      </c>
      <c r="I14" s="14">
        <f t="shared" si="1"/>
        <v>-100</v>
      </c>
    </row>
    <row r="15" spans="1:9" ht="12.75">
      <c r="A15" s="5" t="s">
        <v>8</v>
      </c>
      <c r="B15" s="5"/>
      <c r="C15" s="5" t="s">
        <v>60</v>
      </c>
      <c r="D15" s="61" t="s">
        <v>127</v>
      </c>
      <c r="E15" s="58"/>
      <c r="F15" s="14">
        <v>3337.2</v>
      </c>
      <c r="G15" s="14">
        <v>0</v>
      </c>
      <c r="H15" s="14">
        <f t="shared" si="0"/>
        <v>-3337.2</v>
      </c>
      <c r="I15" s="14">
        <f t="shared" si="1"/>
        <v>-100</v>
      </c>
    </row>
    <row r="16" spans="1:9" ht="12.75">
      <c r="A16" s="12"/>
      <c r="B16" s="12"/>
      <c r="C16" s="12" t="s">
        <v>21</v>
      </c>
      <c r="D16" s="75" t="s">
        <v>128</v>
      </c>
      <c r="E16" s="76"/>
      <c r="F16" s="27">
        <f>SUM(F17:F19)</f>
        <v>26979.06</v>
      </c>
      <c r="G16" s="27">
        <f>SUM(G17:G19)</f>
        <v>0</v>
      </c>
      <c r="H16" s="27">
        <f t="shared" si="0"/>
        <v>-26979.06</v>
      </c>
      <c r="I16" s="27">
        <f t="shared" si="1"/>
        <v>-100</v>
      </c>
    </row>
    <row r="17" spans="1:9" ht="12.75">
      <c r="A17" s="5" t="s">
        <v>9</v>
      </c>
      <c r="B17" s="5"/>
      <c r="C17" s="5" t="s">
        <v>61</v>
      </c>
      <c r="D17" s="61" t="s">
        <v>129</v>
      </c>
      <c r="E17" s="58"/>
      <c r="F17" s="14">
        <v>5753.28</v>
      </c>
      <c r="G17" s="14">
        <v>0</v>
      </c>
      <c r="H17" s="14">
        <f t="shared" si="0"/>
        <v>-5753.28</v>
      </c>
      <c r="I17" s="14">
        <f t="shared" si="1"/>
        <v>-100</v>
      </c>
    </row>
    <row r="18" spans="1:9" ht="12.75">
      <c r="A18" s="5" t="s">
        <v>10</v>
      </c>
      <c r="B18" s="5"/>
      <c r="C18" s="5" t="s">
        <v>62</v>
      </c>
      <c r="D18" s="61" t="s">
        <v>130</v>
      </c>
      <c r="E18" s="58"/>
      <c r="F18" s="14">
        <v>3636.9</v>
      </c>
      <c r="G18" s="14">
        <v>0</v>
      </c>
      <c r="H18" s="14">
        <f t="shared" si="0"/>
        <v>-3636.9</v>
      </c>
      <c r="I18" s="14">
        <f t="shared" si="1"/>
        <v>-100</v>
      </c>
    </row>
    <row r="19" spans="1:9" ht="12.75">
      <c r="A19" s="5" t="s">
        <v>11</v>
      </c>
      <c r="B19" s="5"/>
      <c r="C19" s="5" t="s">
        <v>63</v>
      </c>
      <c r="D19" s="61" t="s">
        <v>131</v>
      </c>
      <c r="E19" s="58"/>
      <c r="F19" s="14">
        <v>17588.88</v>
      </c>
      <c r="G19" s="14">
        <v>0</v>
      </c>
      <c r="H19" s="14">
        <f t="shared" si="0"/>
        <v>-17588.88</v>
      </c>
      <c r="I19" s="14">
        <f t="shared" si="1"/>
        <v>-100</v>
      </c>
    </row>
    <row r="20" spans="1:9" ht="12.75">
      <c r="A20" s="12"/>
      <c r="B20" s="12"/>
      <c r="C20" s="12" t="s">
        <v>22</v>
      </c>
      <c r="D20" s="75" t="s">
        <v>132</v>
      </c>
      <c r="E20" s="76"/>
      <c r="F20" s="27">
        <f>SUM(F21:F22)</f>
        <v>4483.5</v>
      </c>
      <c r="G20" s="27">
        <f>SUM(G21:G22)</f>
        <v>0</v>
      </c>
      <c r="H20" s="27">
        <f t="shared" si="0"/>
        <v>-4483.5</v>
      </c>
      <c r="I20" s="27">
        <f t="shared" si="1"/>
        <v>-100</v>
      </c>
    </row>
    <row r="21" spans="1:9" ht="12.75">
      <c r="A21" s="5" t="s">
        <v>12</v>
      </c>
      <c r="B21" s="5"/>
      <c r="C21" s="5" t="s">
        <v>64</v>
      </c>
      <c r="D21" s="61" t="s">
        <v>133</v>
      </c>
      <c r="E21" s="58"/>
      <c r="F21" s="14">
        <v>437.1</v>
      </c>
      <c r="G21" s="14">
        <v>0</v>
      </c>
      <c r="H21" s="14">
        <f t="shared" si="0"/>
        <v>-437.1</v>
      </c>
      <c r="I21" s="14">
        <f t="shared" si="1"/>
        <v>-100</v>
      </c>
    </row>
    <row r="22" spans="1:9" ht="12.75">
      <c r="A22" s="5" t="s">
        <v>13</v>
      </c>
      <c r="B22" s="5"/>
      <c r="C22" s="5" t="s">
        <v>65</v>
      </c>
      <c r="D22" s="61" t="s">
        <v>134</v>
      </c>
      <c r="E22" s="58"/>
      <c r="F22" s="14">
        <v>4046.4</v>
      </c>
      <c r="G22" s="14">
        <v>0</v>
      </c>
      <c r="H22" s="14">
        <f t="shared" si="0"/>
        <v>-4046.4</v>
      </c>
      <c r="I22" s="14">
        <f t="shared" si="1"/>
        <v>-100</v>
      </c>
    </row>
    <row r="23" spans="1:9" ht="12.75">
      <c r="A23" s="12"/>
      <c r="B23" s="12"/>
      <c r="C23" s="12" t="s">
        <v>66</v>
      </c>
      <c r="D23" s="75" t="s">
        <v>135</v>
      </c>
      <c r="E23" s="76"/>
      <c r="F23" s="27">
        <f>SUM(F24:F25)</f>
        <v>28023.6</v>
      </c>
      <c r="G23" s="27">
        <f>SUM(G24:G25)</f>
        <v>0</v>
      </c>
      <c r="H23" s="27">
        <f t="shared" si="0"/>
        <v>-28023.6</v>
      </c>
      <c r="I23" s="27">
        <f t="shared" si="1"/>
        <v>-100</v>
      </c>
    </row>
    <row r="24" spans="1:9" ht="12.75">
      <c r="A24" s="5" t="s">
        <v>14</v>
      </c>
      <c r="B24" s="5"/>
      <c r="C24" s="5" t="s">
        <v>67</v>
      </c>
      <c r="D24" s="61" t="s">
        <v>136</v>
      </c>
      <c r="E24" s="58"/>
      <c r="F24" s="14">
        <v>17739</v>
      </c>
      <c r="G24" s="14">
        <v>0</v>
      </c>
      <c r="H24" s="14">
        <f t="shared" si="0"/>
        <v>-17739</v>
      </c>
      <c r="I24" s="14">
        <f t="shared" si="1"/>
        <v>-100</v>
      </c>
    </row>
    <row r="25" spans="1:9" ht="12.75">
      <c r="A25" s="5" t="s">
        <v>15</v>
      </c>
      <c r="B25" s="5"/>
      <c r="C25" s="5" t="s">
        <v>68</v>
      </c>
      <c r="D25" s="61" t="s">
        <v>137</v>
      </c>
      <c r="E25" s="58"/>
      <c r="F25" s="14">
        <v>10284.6</v>
      </c>
      <c r="G25" s="14">
        <v>0</v>
      </c>
      <c r="H25" s="14">
        <f t="shared" si="0"/>
        <v>-10284.6</v>
      </c>
      <c r="I25" s="14">
        <f t="shared" si="1"/>
        <v>-100</v>
      </c>
    </row>
    <row r="26" spans="1:9" ht="12.75">
      <c r="A26" s="12"/>
      <c r="B26" s="12"/>
      <c r="C26" s="12" t="s">
        <v>69</v>
      </c>
      <c r="D26" s="75" t="s">
        <v>138</v>
      </c>
      <c r="E26" s="76"/>
      <c r="F26" s="27">
        <f>SUM(F27:F39)</f>
        <v>30495.48</v>
      </c>
      <c r="G26" s="27">
        <f>SUM(G27:G39)</f>
        <v>0</v>
      </c>
      <c r="H26" s="27">
        <f t="shared" si="0"/>
        <v>-30495.48</v>
      </c>
      <c r="I26" s="27">
        <f t="shared" si="1"/>
        <v>-100</v>
      </c>
    </row>
    <row r="27" spans="1:9" ht="12.75">
      <c r="A27" s="5" t="s">
        <v>16</v>
      </c>
      <c r="B27" s="5"/>
      <c r="C27" s="5" t="s">
        <v>74</v>
      </c>
      <c r="D27" s="61" t="s">
        <v>143</v>
      </c>
      <c r="E27" s="58"/>
      <c r="F27" s="14">
        <v>1109.22</v>
      </c>
      <c r="G27" s="14">
        <v>0</v>
      </c>
      <c r="H27" s="14">
        <f t="shared" si="0"/>
        <v>-1109.22</v>
      </c>
      <c r="I27" s="14">
        <f t="shared" si="1"/>
        <v>-100</v>
      </c>
    </row>
    <row r="28" spans="1:9" ht="12.75">
      <c r="A28" s="5" t="s">
        <v>17</v>
      </c>
      <c r="B28" s="5"/>
      <c r="C28" s="5" t="s">
        <v>70</v>
      </c>
      <c r="D28" s="61" t="s">
        <v>139</v>
      </c>
      <c r="E28" s="58"/>
      <c r="F28" s="14">
        <v>276.8</v>
      </c>
      <c r="G28" s="14">
        <v>0</v>
      </c>
      <c r="H28" s="14">
        <f t="shared" si="0"/>
        <v>-276.8</v>
      </c>
      <c r="I28" s="14">
        <f t="shared" si="1"/>
        <v>-100</v>
      </c>
    </row>
    <row r="29" spans="1:9" ht="12.75">
      <c r="A29" s="5" t="s">
        <v>18</v>
      </c>
      <c r="B29" s="5"/>
      <c r="C29" s="5" t="s">
        <v>71</v>
      </c>
      <c r="D29" s="61" t="s">
        <v>140</v>
      </c>
      <c r="E29" s="58"/>
      <c r="F29" s="14">
        <v>630.12</v>
      </c>
      <c r="G29" s="14">
        <v>0</v>
      </c>
      <c r="H29" s="14">
        <f t="shared" si="0"/>
        <v>-630.12</v>
      </c>
      <c r="I29" s="14">
        <f t="shared" si="1"/>
        <v>-100</v>
      </c>
    </row>
    <row r="30" spans="1:9" ht="12.75">
      <c r="A30" s="5" t="s">
        <v>19</v>
      </c>
      <c r="B30" s="5"/>
      <c r="C30" s="5" t="s">
        <v>73</v>
      </c>
      <c r="D30" s="61" t="s">
        <v>142</v>
      </c>
      <c r="E30" s="58"/>
      <c r="F30" s="14">
        <v>487.08</v>
      </c>
      <c r="G30" s="14">
        <v>0</v>
      </c>
      <c r="H30" s="14">
        <f t="shared" si="0"/>
        <v>-487.08</v>
      </c>
      <c r="I30" s="14">
        <f t="shared" si="1"/>
        <v>-100</v>
      </c>
    </row>
    <row r="31" spans="1:9" ht="12.75">
      <c r="A31" s="5" t="s">
        <v>20</v>
      </c>
      <c r="B31" s="5"/>
      <c r="C31" s="5" t="s">
        <v>76</v>
      </c>
      <c r="D31" s="61" t="s">
        <v>145</v>
      </c>
      <c r="E31" s="58"/>
      <c r="F31" s="14">
        <v>112.82</v>
      </c>
      <c r="G31" s="14">
        <v>0</v>
      </c>
      <c r="H31" s="14">
        <f t="shared" si="0"/>
        <v>-112.82</v>
      </c>
      <c r="I31" s="14">
        <f t="shared" si="1"/>
        <v>-100</v>
      </c>
    </row>
    <row r="32" spans="1:9" ht="12.75">
      <c r="A32" s="5" t="s">
        <v>21</v>
      </c>
      <c r="B32" s="5"/>
      <c r="C32" s="5" t="s">
        <v>77</v>
      </c>
      <c r="D32" s="61" t="s">
        <v>146</v>
      </c>
      <c r="E32" s="58"/>
      <c r="F32" s="14">
        <v>251.85</v>
      </c>
      <c r="G32" s="14">
        <v>0</v>
      </c>
      <c r="H32" s="14">
        <f t="shared" si="0"/>
        <v>-251.85</v>
      </c>
      <c r="I32" s="14">
        <f t="shared" si="1"/>
        <v>-100</v>
      </c>
    </row>
    <row r="33" spans="1:9" ht="12.75">
      <c r="A33" s="5" t="s">
        <v>22</v>
      </c>
      <c r="B33" s="5"/>
      <c r="C33" s="5" t="s">
        <v>81</v>
      </c>
      <c r="D33" s="61" t="s">
        <v>150</v>
      </c>
      <c r="E33" s="58"/>
      <c r="F33" s="14">
        <v>192.6</v>
      </c>
      <c r="G33" s="14">
        <v>0</v>
      </c>
      <c r="H33" s="14">
        <f t="shared" si="0"/>
        <v>-192.6</v>
      </c>
      <c r="I33" s="14">
        <f t="shared" si="1"/>
        <v>-100</v>
      </c>
    </row>
    <row r="34" spans="1:9" ht="12.75">
      <c r="A34" s="5" t="s">
        <v>23</v>
      </c>
      <c r="B34" s="5"/>
      <c r="C34" s="5" t="s">
        <v>78</v>
      </c>
      <c r="D34" s="61" t="s">
        <v>147</v>
      </c>
      <c r="E34" s="58"/>
      <c r="F34" s="14">
        <v>3267.96</v>
      </c>
      <c r="G34" s="14">
        <v>0</v>
      </c>
      <c r="H34" s="14">
        <f t="shared" si="0"/>
        <v>-3267.96</v>
      </c>
      <c r="I34" s="14">
        <f t="shared" si="1"/>
        <v>-100</v>
      </c>
    </row>
    <row r="35" spans="1:9" ht="12.75">
      <c r="A35" s="5" t="s">
        <v>24</v>
      </c>
      <c r="B35" s="5"/>
      <c r="C35" s="5" t="s">
        <v>80</v>
      </c>
      <c r="D35" s="61" t="s">
        <v>149</v>
      </c>
      <c r="E35" s="58"/>
      <c r="F35" s="14">
        <v>844.81</v>
      </c>
      <c r="G35" s="14">
        <v>0</v>
      </c>
      <c r="H35" s="14">
        <f t="shared" si="0"/>
        <v>-844.81</v>
      </c>
      <c r="I35" s="14">
        <f t="shared" si="1"/>
        <v>-100</v>
      </c>
    </row>
    <row r="36" spans="1:9" ht="12.75">
      <c r="A36" s="5" t="s">
        <v>25</v>
      </c>
      <c r="B36" s="5"/>
      <c r="C36" s="5" t="s">
        <v>72</v>
      </c>
      <c r="D36" s="61" t="s">
        <v>141</v>
      </c>
      <c r="E36" s="58"/>
      <c r="F36" s="14">
        <v>4555.84</v>
      </c>
      <c r="G36" s="14">
        <v>0</v>
      </c>
      <c r="H36" s="14">
        <f t="shared" si="0"/>
        <v>-4555.84</v>
      </c>
      <c r="I36" s="14">
        <f t="shared" si="1"/>
        <v>-100</v>
      </c>
    </row>
    <row r="37" spans="1:9" ht="12.75">
      <c r="A37" s="5" t="s">
        <v>26</v>
      </c>
      <c r="B37" s="5"/>
      <c r="C37" s="5" t="s">
        <v>75</v>
      </c>
      <c r="D37" s="61" t="s">
        <v>144</v>
      </c>
      <c r="E37" s="58"/>
      <c r="F37" s="14">
        <v>3746.52</v>
      </c>
      <c r="G37" s="14">
        <v>0</v>
      </c>
      <c r="H37" s="14">
        <f t="shared" si="0"/>
        <v>-3746.52</v>
      </c>
      <c r="I37" s="14">
        <f t="shared" si="1"/>
        <v>-100</v>
      </c>
    </row>
    <row r="38" spans="1:9" ht="12.75">
      <c r="A38" s="5" t="s">
        <v>27</v>
      </c>
      <c r="B38" s="5"/>
      <c r="C38" s="5" t="s">
        <v>79</v>
      </c>
      <c r="D38" s="61" t="s">
        <v>148</v>
      </c>
      <c r="E38" s="58"/>
      <c r="F38" s="14">
        <v>14446.26</v>
      </c>
      <c r="G38" s="14">
        <v>0</v>
      </c>
      <c r="H38" s="14">
        <f t="shared" si="0"/>
        <v>-14446.26</v>
      </c>
      <c r="I38" s="14">
        <f t="shared" si="1"/>
        <v>-100</v>
      </c>
    </row>
    <row r="39" spans="1:9" ht="12.75">
      <c r="A39" s="5" t="s">
        <v>28</v>
      </c>
      <c r="B39" s="5"/>
      <c r="C39" s="5" t="s">
        <v>82</v>
      </c>
      <c r="D39" s="61" t="s">
        <v>151</v>
      </c>
      <c r="E39" s="58"/>
      <c r="F39" s="14">
        <v>573.6</v>
      </c>
      <c r="G39" s="14">
        <v>0</v>
      </c>
      <c r="H39" s="14">
        <f t="shared" si="0"/>
        <v>-573.6</v>
      </c>
      <c r="I39" s="14">
        <f t="shared" si="1"/>
        <v>-100</v>
      </c>
    </row>
    <row r="40" spans="1:9" ht="12.75">
      <c r="A40" s="12"/>
      <c r="B40" s="12"/>
      <c r="C40" s="12" t="s">
        <v>83</v>
      </c>
      <c r="D40" s="75" t="s">
        <v>152</v>
      </c>
      <c r="E40" s="76"/>
      <c r="F40" s="27">
        <f>SUM(F41:F57)</f>
        <v>158190.61</v>
      </c>
      <c r="G40" s="27">
        <f>SUM(G41:G57)</f>
        <v>0</v>
      </c>
      <c r="H40" s="27">
        <f t="shared" si="0"/>
        <v>-158190.61</v>
      </c>
      <c r="I40" s="27">
        <f t="shared" si="1"/>
        <v>-100</v>
      </c>
    </row>
    <row r="41" spans="1:9" ht="12.75">
      <c r="A41" s="5" t="s">
        <v>29</v>
      </c>
      <c r="B41" s="5"/>
      <c r="C41" s="5" t="s">
        <v>94</v>
      </c>
      <c r="D41" s="61" t="s">
        <v>162</v>
      </c>
      <c r="E41" s="58"/>
      <c r="F41" s="14">
        <v>187.6</v>
      </c>
      <c r="G41" s="14">
        <v>0</v>
      </c>
      <c r="H41" s="14">
        <f t="shared" si="0"/>
        <v>-187.6</v>
      </c>
      <c r="I41" s="14">
        <f t="shared" si="1"/>
        <v>-100</v>
      </c>
    </row>
    <row r="42" spans="1:9" ht="12.75">
      <c r="A42" s="5" t="s">
        <v>30</v>
      </c>
      <c r="B42" s="5"/>
      <c r="C42" s="5" t="s">
        <v>95</v>
      </c>
      <c r="D42" s="61" t="s">
        <v>163</v>
      </c>
      <c r="E42" s="58"/>
      <c r="F42" s="14">
        <v>563.12</v>
      </c>
      <c r="G42" s="14">
        <v>0</v>
      </c>
      <c r="H42" s="14">
        <f t="shared" si="0"/>
        <v>-563.12</v>
      </c>
      <c r="I42" s="14">
        <f t="shared" si="1"/>
        <v>-100</v>
      </c>
    </row>
    <row r="43" spans="1:9" ht="12.75">
      <c r="A43" s="5" t="s">
        <v>31</v>
      </c>
      <c r="B43" s="5"/>
      <c r="C43" s="5" t="s">
        <v>99</v>
      </c>
      <c r="D43" s="61" t="s">
        <v>167</v>
      </c>
      <c r="E43" s="58"/>
      <c r="F43" s="14">
        <v>5644.05</v>
      </c>
      <c r="G43" s="14">
        <v>0</v>
      </c>
      <c r="H43" s="14">
        <f aca="true" t="shared" si="2" ref="H43:H74">G43-F43</f>
        <v>-5644.05</v>
      </c>
      <c r="I43" s="14">
        <f aca="true" t="shared" si="3" ref="I43:I74">H43/F43*100</f>
        <v>-100</v>
      </c>
    </row>
    <row r="44" spans="1:9" ht="12.75">
      <c r="A44" s="5" t="s">
        <v>32</v>
      </c>
      <c r="B44" s="5"/>
      <c r="C44" s="5" t="s">
        <v>100</v>
      </c>
      <c r="D44" s="61" t="s">
        <v>168</v>
      </c>
      <c r="E44" s="58"/>
      <c r="F44" s="14">
        <v>3674.84</v>
      </c>
      <c r="G44" s="14">
        <v>0</v>
      </c>
      <c r="H44" s="14">
        <f t="shared" si="2"/>
        <v>-3674.84</v>
      </c>
      <c r="I44" s="14">
        <f t="shared" si="3"/>
        <v>-100</v>
      </c>
    </row>
    <row r="45" spans="1:9" ht="12.75">
      <c r="A45" s="5" t="s">
        <v>33</v>
      </c>
      <c r="B45" s="5"/>
      <c r="C45" s="5" t="s">
        <v>85</v>
      </c>
      <c r="D45" s="61" t="s">
        <v>154</v>
      </c>
      <c r="E45" s="58"/>
      <c r="F45" s="14">
        <v>47036.22</v>
      </c>
      <c r="G45" s="14">
        <v>0</v>
      </c>
      <c r="H45" s="14">
        <f t="shared" si="2"/>
        <v>-47036.22</v>
      </c>
      <c r="I45" s="14">
        <f t="shared" si="3"/>
        <v>-100</v>
      </c>
    </row>
    <row r="46" spans="1:9" ht="12.75">
      <c r="A46" s="5" t="s">
        <v>34</v>
      </c>
      <c r="B46" s="5"/>
      <c r="C46" s="5" t="s">
        <v>90</v>
      </c>
      <c r="D46" s="61" t="s">
        <v>158</v>
      </c>
      <c r="E46" s="58"/>
      <c r="F46" s="14">
        <v>613.88</v>
      </c>
      <c r="G46" s="14">
        <v>0</v>
      </c>
      <c r="H46" s="14">
        <f t="shared" si="2"/>
        <v>-613.88</v>
      </c>
      <c r="I46" s="14">
        <f t="shared" si="3"/>
        <v>-100</v>
      </c>
    </row>
    <row r="47" spans="1:9" ht="12.75">
      <c r="A47" s="5" t="s">
        <v>35</v>
      </c>
      <c r="B47" s="5"/>
      <c r="C47" s="5" t="s">
        <v>84</v>
      </c>
      <c r="D47" s="61" t="s">
        <v>153</v>
      </c>
      <c r="E47" s="58"/>
      <c r="F47" s="14">
        <v>36596.56</v>
      </c>
      <c r="G47" s="14">
        <v>0</v>
      </c>
      <c r="H47" s="14">
        <f t="shared" si="2"/>
        <v>-36596.56</v>
      </c>
      <c r="I47" s="14">
        <f t="shared" si="3"/>
        <v>-100</v>
      </c>
    </row>
    <row r="48" spans="1:9" ht="12.75">
      <c r="A48" s="5" t="s">
        <v>36</v>
      </c>
      <c r="B48" s="5"/>
      <c r="C48" s="5" t="s">
        <v>86</v>
      </c>
      <c r="D48" s="61" t="s">
        <v>155</v>
      </c>
      <c r="E48" s="58"/>
      <c r="F48" s="14">
        <v>11172.24</v>
      </c>
      <c r="G48" s="14">
        <v>0</v>
      </c>
      <c r="H48" s="14">
        <f t="shared" si="2"/>
        <v>-11172.24</v>
      </c>
      <c r="I48" s="14">
        <f t="shared" si="3"/>
        <v>-100</v>
      </c>
    </row>
    <row r="49" spans="1:9" ht="12.75">
      <c r="A49" s="5" t="s">
        <v>37</v>
      </c>
      <c r="B49" s="5"/>
      <c r="C49" s="5" t="s">
        <v>87</v>
      </c>
      <c r="D49" s="61" t="s">
        <v>156</v>
      </c>
      <c r="E49" s="58"/>
      <c r="F49" s="14">
        <v>5724.48</v>
      </c>
      <c r="G49" s="14">
        <v>0</v>
      </c>
      <c r="H49" s="14">
        <f t="shared" si="2"/>
        <v>-5724.48</v>
      </c>
      <c r="I49" s="14">
        <f t="shared" si="3"/>
        <v>-100</v>
      </c>
    </row>
    <row r="50" spans="1:9" ht="12.75">
      <c r="A50" s="5" t="s">
        <v>38</v>
      </c>
      <c r="B50" s="5"/>
      <c r="C50" s="5" t="s">
        <v>88</v>
      </c>
      <c r="D50" s="61" t="s">
        <v>157</v>
      </c>
      <c r="E50" s="58"/>
      <c r="F50" s="14">
        <v>6053.4</v>
      </c>
      <c r="G50" s="14">
        <v>0</v>
      </c>
      <c r="H50" s="14">
        <f t="shared" si="2"/>
        <v>-6053.4</v>
      </c>
      <c r="I50" s="14">
        <f t="shared" si="3"/>
        <v>-100</v>
      </c>
    </row>
    <row r="51" spans="1:9" ht="12.75">
      <c r="A51" s="5" t="s">
        <v>39</v>
      </c>
      <c r="B51" s="5"/>
      <c r="C51" s="5" t="s">
        <v>89</v>
      </c>
      <c r="D51" s="61" t="s">
        <v>157</v>
      </c>
      <c r="E51" s="58"/>
      <c r="F51" s="14">
        <v>2550.48</v>
      </c>
      <c r="G51" s="14">
        <v>0</v>
      </c>
      <c r="H51" s="14">
        <f t="shared" si="2"/>
        <v>-2550.48</v>
      </c>
      <c r="I51" s="14">
        <f t="shared" si="3"/>
        <v>-100</v>
      </c>
    </row>
    <row r="52" spans="1:9" ht="12.75">
      <c r="A52" s="5" t="s">
        <v>40</v>
      </c>
      <c r="B52" s="5"/>
      <c r="C52" s="5" t="s">
        <v>91</v>
      </c>
      <c r="D52" s="61" t="s">
        <v>159</v>
      </c>
      <c r="E52" s="58"/>
      <c r="F52" s="14">
        <v>5403.4</v>
      </c>
      <c r="G52" s="14">
        <v>0</v>
      </c>
      <c r="H52" s="14">
        <f t="shared" si="2"/>
        <v>-5403.4</v>
      </c>
      <c r="I52" s="14">
        <f t="shared" si="3"/>
        <v>-100</v>
      </c>
    </row>
    <row r="53" spans="1:9" ht="12.75">
      <c r="A53" s="5" t="s">
        <v>41</v>
      </c>
      <c r="B53" s="5"/>
      <c r="C53" s="5" t="s">
        <v>92</v>
      </c>
      <c r="D53" s="61" t="s">
        <v>160</v>
      </c>
      <c r="E53" s="58"/>
      <c r="F53" s="14">
        <v>10961.8</v>
      </c>
      <c r="G53" s="14">
        <v>0</v>
      </c>
      <c r="H53" s="14">
        <f t="shared" si="2"/>
        <v>-10961.8</v>
      </c>
      <c r="I53" s="14">
        <f t="shared" si="3"/>
        <v>-100</v>
      </c>
    </row>
    <row r="54" spans="1:9" ht="12.75">
      <c r="A54" s="5" t="s">
        <v>42</v>
      </c>
      <c r="B54" s="5"/>
      <c r="C54" s="5" t="s">
        <v>93</v>
      </c>
      <c r="D54" s="61" t="s">
        <v>161</v>
      </c>
      <c r="E54" s="58"/>
      <c r="F54" s="14">
        <v>6837.92</v>
      </c>
      <c r="G54" s="14">
        <v>0</v>
      </c>
      <c r="H54" s="14">
        <f t="shared" si="2"/>
        <v>-6837.92</v>
      </c>
      <c r="I54" s="14">
        <f t="shared" si="3"/>
        <v>-100</v>
      </c>
    </row>
    <row r="55" spans="1:9" ht="12.75">
      <c r="A55" s="5" t="s">
        <v>43</v>
      </c>
      <c r="B55" s="5"/>
      <c r="C55" s="5" t="s">
        <v>96</v>
      </c>
      <c r="D55" s="61" t="s">
        <v>164</v>
      </c>
      <c r="E55" s="58"/>
      <c r="F55" s="14">
        <v>911.71</v>
      </c>
      <c r="G55" s="14">
        <v>0</v>
      </c>
      <c r="H55" s="14">
        <f t="shared" si="2"/>
        <v>-911.71</v>
      </c>
      <c r="I55" s="14">
        <f t="shared" si="3"/>
        <v>-100</v>
      </c>
    </row>
    <row r="56" spans="1:9" ht="12.75">
      <c r="A56" s="5" t="s">
        <v>44</v>
      </c>
      <c r="B56" s="5"/>
      <c r="C56" s="5" t="s">
        <v>97</v>
      </c>
      <c r="D56" s="61" t="s">
        <v>165</v>
      </c>
      <c r="E56" s="58"/>
      <c r="F56" s="14">
        <v>1754.24</v>
      </c>
      <c r="G56" s="14">
        <v>0</v>
      </c>
      <c r="H56" s="14">
        <f t="shared" si="2"/>
        <v>-1754.24</v>
      </c>
      <c r="I56" s="14">
        <f t="shared" si="3"/>
        <v>-100</v>
      </c>
    </row>
    <row r="57" spans="1:9" ht="12.75">
      <c r="A57" s="5" t="s">
        <v>45</v>
      </c>
      <c r="B57" s="5"/>
      <c r="C57" s="5" t="s">
        <v>98</v>
      </c>
      <c r="D57" s="61" t="s">
        <v>166</v>
      </c>
      <c r="E57" s="58"/>
      <c r="F57" s="14">
        <v>12504.67</v>
      </c>
      <c r="G57" s="14">
        <v>0</v>
      </c>
      <c r="H57" s="14">
        <f t="shared" si="2"/>
        <v>-12504.67</v>
      </c>
      <c r="I57" s="14">
        <f t="shared" si="3"/>
        <v>-100</v>
      </c>
    </row>
    <row r="58" spans="1:9" ht="12.75">
      <c r="A58" s="12"/>
      <c r="B58" s="12"/>
      <c r="C58" s="12" t="s">
        <v>101</v>
      </c>
      <c r="D58" s="75" t="s">
        <v>169</v>
      </c>
      <c r="E58" s="76"/>
      <c r="F58" s="27">
        <f>SUM(F59:F61)</f>
        <v>42419.5</v>
      </c>
      <c r="G58" s="27">
        <f>SUM(G59:G61)</f>
        <v>0</v>
      </c>
      <c r="H58" s="27">
        <f t="shared" si="2"/>
        <v>-42419.5</v>
      </c>
      <c r="I58" s="27">
        <f t="shared" si="3"/>
        <v>-100</v>
      </c>
    </row>
    <row r="59" spans="1:9" ht="12.75">
      <c r="A59" s="5" t="s">
        <v>46</v>
      </c>
      <c r="B59" s="5"/>
      <c r="C59" s="5" t="s">
        <v>102</v>
      </c>
      <c r="D59" s="61" t="s">
        <v>170</v>
      </c>
      <c r="E59" s="58"/>
      <c r="F59" s="14">
        <v>16131.26</v>
      </c>
      <c r="G59" s="14">
        <v>0</v>
      </c>
      <c r="H59" s="14">
        <f t="shared" si="2"/>
        <v>-16131.26</v>
      </c>
      <c r="I59" s="14">
        <f t="shared" si="3"/>
        <v>-100</v>
      </c>
    </row>
    <row r="60" spans="1:9" ht="12.75">
      <c r="A60" s="5" t="s">
        <v>47</v>
      </c>
      <c r="B60" s="5"/>
      <c r="C60" s="5" t="s">
        <v>103</v>
      </c>
      <c r="D60" s="61" t="s">
        <v>171</v>
      </c>
      <c r="E60" s="58"/>
      <c r="F60" s="14">
        <v>17334.07</v>
      </c>
      <c r="G60" s="14">
        <v>0</v>
      </c>
      <c r="H60" s="14">
        <f t="shared" si="2"/>
        <v>-17334.07</v>
      </c>
      <c r="I60" s="14">
        <f t="shared" si="3"/>
        <v>-100</v>
      </c>
    </row>
    <row r="61" spans="1:9" ht="12.75">
      <c r="A61" s="5" t="s">
        <v>48</v>
      </c>
      <c r="B61" s="5"/>
      <c r="C61" s="5" t="s">
        <v>104</v>
      </c>
      <c r="D61" s="61" t="s">
        <v>172</v>
      </c>
      <c r="E61" s="58"/>
      <c r="F61" s="14">
        <v>8954.17</v>
      </c>
      <c r="G61" s="14">
        <v>0</v>
      </c>
      <c r="H61" s="14">
        <f t="shared" si="2"/>
        <v>-8954.17</v>
      </c>
      <c r="I61" s="14">
        <f t="shared" si="3"/>
        <v>-100</v>
      </c>
    </row>
    <row r="62" spans="1:9" ht="12.75">
      <c r="A62" s="12"/>
      <c r="B62" s="12"/>
      <c r="C62" s="12" t="s">
        <v>105</v>
      </c>
      <c r="D62" s="75" t="s">
        <v>173</v>
      </c>
      <c r="E62" s="76"/>
      <c r="F62" s="27">
        <f>SUM(F63:F63)</f>
        <v>12193.92</v>
      </c>
      <c r="G62" s="27">
        <f>SUM(G63:G63)</f>
        <v>0</v>
      </c>
      <c r="H62" s="27">
        <f t="shared" si="2"/>
        <v>-12193.92</v>
      </c>
      <c r="I62" s="27">
        <f t="shared" si="3"/>
        <v>-100</v>
      </c>
    </row>
    <row r="63" spans="1:9" ht="12.75">
      <c r="A63" s="5" t="s">
        <v>49</v>
      </c>
      <c r="B63" s="5"/>
      <c r="C63" s="5" t="s">
        <v>106</v>
      </c>
      <c r="D63" s="61" t="s">
        <v>174</v>
      </c>
      <c r="E63" s="58"/>
      <c r="F63" s="14">
        <v>12193.92</v>
      </c>
      <c r="G63" s="14">
        <v>0</v>
      </c>
      <c r="H63" s="14">
        <f t="shared" si="2"/>
        <v>-12193.92</v>
      </c>
      <c r="I63" s="14">
        <f t="shared" si="3"/>
        <v>-100</v>
      </c>
    </row>
    <row r="64" spans="1:9" ht="12.75">
      <c r="A64" s="12"/>
      <c r="B64" s="12"/>
      <c r="C64" s="12" t="s">
        <v>107</v>
      </c>
      <c r="D64" s="75" t="s">
        <v>175</v>
      </c>
      <c r="E64" s="76"/>
      <c r="F64" s="27">
        <f>SUM(F65:F65)</f>
        <v>11162.5</v>
      </c>
      <c r="G64" s="27">
        <f>SUM(G65:G65)</f>
        <v>0</v>
      </c>
      <c r="H64" s="27">
        <f t="shared" si="2"/>
        <v>-11162.5</v>
      </c>
      <c r="I64" s="27">
        <f t="shared" si="3"/>
        <v>-100</v>
      </c>
    </row>
    <row r="65" spans="1:9" ht="12.75">
      <c r="A65" s="5" t="s">
        <v>50</v>
      </c>
      <c r="B65" s="5"/>
      <c r="C65" s="5" t="s">
        <v>108</v>
      </c>
      <c r="D65" s="61" t="s">
        <v>176</v>
      </c>
      <c r="E65" s="58"/>
      <c r="F65" s="14">
        <v>11162.5</v>
      </c>
      <c r="G65" s="14">
        <v>0</v>
      </c>
      <c r="H65" s="14">
        <f t="shared" si="2"/>
        <v>-11162.5</v>
      </c>
      <c r="I65" s="14">
        <f t="shared" si="3"/>
        <v>-100</v>
      </c>
    </row>
    <row r="66" spans="1:9" ht="12.75">
      <c r="A66" s="12"/>
      <c r="B66" s="12"/>
      <c r="C66" s="12" t="s">
        <v>109</v>
      </c>
      <c r="D66" s="75" t="s">
        <v>177</v>
      </c>
      <c r="E66" s="76"/>
      <c r="F66" s="27">
        <f>SUM(F67:F67)</f>
        <v>12475.5</v>
      </c>
      <c r="G66" s="27">
        <f>SUM(G67:G67)</f>
        <v>0</v>
      </c>
      <c r="H66" s="27">
        <f t="shared" si="2"/>
        <v>-12475.5</v>
      </c>
      <c r="I66" s="27">
        <f t="shared" si="3"/>
        <v>-100</v>
      </c>
    </row>
    <row r="67" spans="1:9" ht="12.75">
      <c r="A67" s="5" t="s">
        <v>51</v>
      </c>
      <c r="B67" s="5"/>
      <c r="C67" s="5" t="s">
        <v>110</v>
      </c>
      <c r="D67" s="61" t="s">
        <v>178</v>
      </c>
      <c r="E67" s="58"/>
      <c r="F67" s="14">
        <v>12475.5</v>
      </c>
      <c r="G67" s="14">
        <v>0</v>
      </c>
      <c r="H67" s="14">
        <f t="shared" si="2"/>
        <v>-12475.5</v>
      </c>
      <c r="I67" s="14">
        <f t="shared" si="3"/>
        <v>-100</v>
      </c>
    </row>
    <row r="68" spans="1:9" ht="12.75">
      <c r="A68" s="12"/>
      <c r="B68" s="12"/>
      <c r="C68" s="12" t="s">
        <v>111</v>
      </c>
      <c r="D68" s="75" t="s">
        <v>179</v>
      </c>
      <c r="E68" s="76"/>
      <c r="F68" s="27">
        <f>SUM(F69:F69)</f>
        <v>58653.93</v>
      </c>
      <c r="G68" s="27">
        <f>SUM(G69:G69)</f>
        <v>0</v>
      </c>
      <c r="H68" s="27">
        <f t="shared" si="2"/>
        <v>-58653.93</v>
      </c>
      <c r="I68" s="27">
        <f t="shared" si="3"/>
        <v>-100</v>
      </c>
    </row>
    <row r="69" spans="1:9" ht="12.75">
      <c r="A69" s="5" t="s">
        <v>52</v>
      </c>
      <c r="B69" s="5"/>
      <c r="C69" s="5" t="s">
        <v>112</v>
      </c>
      <c r="D69" s="61" t="s">
        <v>180</v>
      </c>
      <c r="E69" s="58"/>
      <c r="F69" s="14">
        <v>58653.93</v>
      </c>
      <c r="G69" s="14">
        <v>0</v>
      </c>
      <c r="H69" s="14">
        <f t="shared" si="2"/>
        <v>-58653.93</v>
      </c>
      <c r="I69" s="14">
        <f t="shared" si="3"/>
        <v>-100</v>
      </c>
    </row>
    <row r="70" spans="1:9" ht="12.75">
      <c r="A70" s="12"/>
      <c r="B70" s="12"/>
      <c r="C70" s="12" t="s">
        <v>113</v>
      </c>
      <c r="D70" s="75" t="s">
        <v>138</v>
      </c>
      <c r="E70" s="76"/>
      <c r="F70" s="27">
        <f>SUM(F71:F71)</f>
        <v>28.04</v>
      </c>
      <c r="G70" s="27">
        <f>SUM(G71:G71)</f>
        <v>0</v>
      </c>
      <c r="H70" s="27">
        <f t="shared" si="2"/>
        <v>-28.04</v>
      </c>
      <c r="I70" s="27">
        <f t="shared" si="3"/>
        <v>-100</v>
      </c>
    </row>
    <row r="71" spans="1:9" ht="12.75">
      <c r="A71" s="5" t="s">
        <v>53</v>
      </c>
      <c r="B71" s="5"/>
      <c r="C71" s="5" t="s">
        <v>114</v>
      </c>
      <c r="D71" s="61" t="s">
        <v>181</v>
      </c>
      <c r="E71" s="58"/>
      <c r="F71" s="14">
        <v>28.04</v>
      </c>
      <c r="G71" s="14">
        <v>0</v>
      </c>
      <c r="H71" s="14">
        <f t="shared" si="2"/>
        <v>-28.04</v>
      </c>
      <c r="I71" s="14">
        <f t="shared" si="3"/>
        <v>-100</v>
      </c>
    </row>
    <row r="72" spans="1:9" ht="12.75">
      <c r="A72" s="12"/>
      <c r="B72" s="12"/>
      <c r="C72" s="12" t="s">
        <v>115</v>
      </c>
      <c r="D72" s="75" t="s">
        <v>152</v>
      </c>
      <c r="E72" s="76"/>
      <c r="F72" s="27">
        <f>SUM(F73:F73)</f>
        <v>325.53</v>
      </c>
      <c r="G72" s="27">
        <f>SUM(G73:G73)</f>
        <v>0</v>
      </c>
      <c r="H72" s="27">
        <f t="shared" si="2"/>
        <v>-325.53</v>
      </c>
      <c r="I72" s="27">
        <f t="shared" si="3"/>
        <v>-100</v>
      </c>
    </row>
    <row r="73" spans="1:9" ht="12.75">
      <c r="A73" s="5" t="s">
        <v>54</v>
      </c>
      <c r="B73" s="5"/>
      <c r="C73" s="5" t="s">
        <v>116</v>
      </c>
      <c r="D73" s="61" t="s">
        <v>182</v>
      </c>
      <c r="E73" s="58"/>
      <c r="F73" s="14">
        <v>325.53</v>
      </c>
      <c r="G73" s="14">
        <v>0</v>
      </c>
      <c r="H73" s="14">
        <f t="shared" si="2"/>
        <v>-325.53</v>
      </c>
      <c r="I73" s="14">
        <f t="shared" si="3"/>
        <v>-100</v>
      </c>
    </row>
    <row r="74" spans="1:9" ht="12.75">
      <c r="A74" s="12"/>
      <c r="B74" s="12"/>
      <c r="C74" s="12" t="s">
        <v>117</v>
      </c>
      <c r="D74" s="75" t="s">
        <v>169</v>
      </c>
      <c r="E74" s="76"/>
      <c r="F74" s="27">
        <f>SUM(F75:F75)</f>
        <v>94.33</v>
      </c>
      <c r="G74" s="27">
        <f>SUM(G75:G75)</f>
        <v>0</v>
      </c>
      <c r="H74" s="27">
        <f t="shared" si="2"/>
        <v>-94.33</v>
      </c>
      <c r="I74" s="27">
        <f t="shared" si="3"/>
        <v>-100</v>
      </c>
    </row>
    <row r="75" spans="1:9" ht="12.75">
      <c r="A75" s="5" t="s">
        <v>55</v>
      </c>
      <c r="B75" s="5"/>
      <c r="C75" s="5" t="s">
        <v>118</v>
      </c>
      <c r="D75" s="61" t="s">
        <v>183</v>
      </c>
      <c r="E75" s="58"/>
      <c r="F75" s="14">
        <v>94.33</v>
      </c>
      <c r="G75" s="14">
        <v>0</v>
      </c>
      <c r="H75" s="14">
        <f>G75-F75</f>
        <v>-94.33</v>
      </c>
      <c r="I75" s="14">
        <f>H75/F75*100</f>
        <v>-100</v>
      </c>
    </row>
  </sheetData>
  <mergeCells count="91">
    <mergeCell ref="D74:E74"/>
    <mergeCell ref="D75:E75"/>
    <mergeCell ref="D70:E70"/>
    <mergeCell ref="D71:E71"/>
    <mergeCell ref="D72:E72"/>
    <mergeCell ref="D73:E73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G8:G9"/>
    <mergeCell ref="H2:I3"/>
    <mergeCell ref="H4:I5"/>
    <mergeCell ref="H6:I7"/>
    <mergeCell ref="H8:I9"/>
    <mergeCell ref="E8:E9"/>
    <mergeCell ref="F2:F3"/>
    <mergeCell ref="F4:F5"/>
    <mergeCell ref="F6:F7"/>
    <mergeCell ref="F8:F9"/>
    <mergeCell ref="A8:A9"/>
    <mergeCell ref="B2:D3"/>
    <mergeCell ref="B4:D5"/>
    <mergeCell ref="B6:D7"/>
    <mergeCell ref="B8:D9"/>
    <mergeCell ref="A1:H1"/>
    <mergeCell ref="A2:A3"/>
    <mergeCell ref="A4:A5"/>
    <mergeCell ref="A6:A7"/>
    <mergeCell ref="E2:E3"/>
    <mergeCell ref="E4:E5"/>
    <mergeCell ref="E6:E7"/>
    <mergeCell ref="G2:G3"/>
    <mergeCell ref="G4:G5"/>
    <mergeCell ref="G6:G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80" t="s">
        <v>240</v>
      </c>
      <c r="B1" s="81"/>
      <c r="C1" s="81"/>
      <c r="D1" s="81"/>
      <c r="E1" s="81"/>
      <c r="F1" s="81"/>
      <c r="G1" s="81"/>
      <c r="H1" s="81"/>
      <c r="I1" s="81"/>
    </row>
    <row r="2" spans="1:10" ht="12.75">
      <c r="A2" s="57" t="s">
        <v>0</v>
      </c>
      <c r="B2" s="53"/>
      <c r="C2" s="64" t="s">
        <v>119</v>
      </c>
      <c r="D2" s="77"/>
      <c r="E2" s="60" t="s">
        <v>203</v>
      </c>
      <c r="F2" s="60"/>
      <c r="G2" s="53"/>
      <c r="H2" s="60" t="s">
        <v>276</v>
      </c>
      <c r="I2" s="84"/>
      <c r="J2" s="23"/>
    </row>
    <row r="3" spans="1:10" ht="12.75">
      <c r="A3" s="54"/>
      <c r="B3" s="58"/>
      <c r="C3" s="65"/>
      <c r="D3" s="65"/>
      <c r="E3" s="58"/>
      <c r="F3" s="58"/>
      <c r="G3" s="58"/>
      <c r="H3" s="58"/>
      <c r="I3" s="68"/>
      <c r="J3" s="23"/>
    </row>
    <row r="4" spans="1:10" ht="12.75">
      <c r="A4" s="59" t="s">
        <v>1</v>
      </c>
      <c r="B4" s="58"/>
      <c r="C4" s="61" t="s">
        <v>120</v>
      </c>
      <c r="D4" s="58"/>
      <c r="E4" s="61" t="s">
        <v>204</v>
      </c>
      <c r="F4" s="61"/>
      <c r="G4" s="58"/>
      <c r="H4" s="61" t="s">
        <v>276</v>
      </c>
      <c r="I4" s="85"/>
      <c r="J4" s="23"/>
    </row>
    <row r="5" spans="1:10" ht="12.75">
      <c r="A5" s="54"/>
      <c r="B5" s="58"/>
      <c r="C5" s="58"/>
      <c r="D5" s="58"/>
      <c r="E5" s="58"/>
      <c r="F5" s="58"/>
      <c r="G5" s="58"/>
      <c r="H5" s="58"/>
      <c r="I5" s="68"/>
      <c r="J5" s="23"/>
    </row>
    <row r="6" spans="1:10" ht="12.75">
      <c r="A6" s="59" t="s">
        <v>2</v>
      </c>
      <c r="B6" s="58"/>
      <c r="C6" s="61" t="s">
        <v>121</v>
      </c>
      <c r="D6" s="58"/>
      <c r="E6" s="61" t="s">
        <v>205</v>
      </c>
      <c r="F6" s="61"/>
      <c r="G6" s="58"/>
      <c r="H6" s="61" t="s">
        <v>276</v>
      </c>
      <c r="I6" s="85"/>
      <c r="J6" s="23"/>
    </row>
    <row r="7" spans="1:10" ht="12.75">
      <c r="A7" s="54"/>
      <c r="B7" s="58"/>
      <c r="C7" s="58"/>
      <c r="D7" s="58"/>
      <c r="E7" s="58"/>
      <c r="F7" s="58"/>
      <c r="G7" s="58"/>
      <c r="H7" s="58"/>
      <c r="I7" s="68"/>
      <c r="J7" s="23"/>
    </row>
    <row r="8" spans="1:10" ht="12.75">
      <c r="A8" s="59" t="s">
        <v>185</v>
      </c>
      <c r="B8" s="58"/>
      <c r="C8" s="66">
        <v>41164</v>
      </c>
      <c r="D8" s="58"/>
      <c r="E8" s="61" t="s">
        <v>186</v>
      </c>
      <c r="F8" s="58"/>
      <c r="G8" s="58"/>
      <c r="H8" s="61" t="s">
        <v>277</v>
      </c>
      <c r="I8" s="85" t="s">
        <v>55</v>
      </c>
      <c r="J8" s="23"/>
    </row>
    <row r="9" spans="1:10" ht="12.75">
      <c r="A9" s="54"/>
      <c r="B9" s="58"/>
      <c r="C9" s="58"/>
      <c r="D9" s="58"/>
      <c r="E9" s="58"/>
      <c r="F9" s="58"/>
      <c r="G9" s="58"/>
      <c r="H9" s="58"/>
      <c r="I9" s="68"/>
      <c r="J9" s="23"/>
    </row>
    <row r="10" spans="1:10" ht="12.75">
      <c r="A10" s="59" t="s">
        <v>3</v>
      </c>
      <c r="B10" s="58"/>
      <c r="C10" s="61"/>
      <c r="D10" s="58"/>
      <c r="E10" s="61" t="s">
        <v>206</v>
      </c>
      <c r="F10" s="61"/>
      <c r="G10" s="58"/>
      <c r="H10" s="61" t="s">
        <v>278</v>
      </c>
      <c r="I10" s="86">
        <v>41164</v>
      </c>
      <c r="J10" s="23"/>
    </row>
    <row r="11" spans="1:10" ht="12.75">
      <c r="A11" s="82"/>
      <c r="B11" s="83"/>
      <c r="C11" s="83"/>
      <c r="D11" s="83"/>
      <c r="E11" s="83"/>
      <c r="F11" s="83"/>
      <c r="G11" s="83"/>
      <c r="H11" s="83"/>
      <c r="I11" s="87"/>
      <c r="J11" s="23"/>
    </row>
    <row r="12" spans="1:9" ht="23.25" customHeight="1">
      <c r="A12" s="88" t="s">
        <v>241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43" t="s">
        <v>242</v>
      </c>
      <c r="B13" s="90" t="s">
        <v>254</v>
      </c>
      <c r="C13" s="91"/>
      <c r="D13" s="43" t="s">
        <v>256</v>
      </c>
      <c r="E13" s="90" t="s">
        <v>264</v>
      </c>
      <c r="F13" s="91"/>
      <c r="G13" s="43" t="s">
        <v>265</v>
      </c>
      <c r="H13" s="90" t="s">
        <v>279</v>
      </c>
      <c r="I13" s="91"/>
      <c r="J13" s="23"/>
    </row>
    <row r="14" spans="1:10" ht="15" customHeight="1">
      <c r="A14" s="44" t="s">
        <v>243</v>
      </c>
      <c r="B14" s="48" t="s">
        <v>255</v>
      </c>
      <c r="C14" s="50">
        <f>SUM('Stavební VV'!R12:R76)</f>
        <v>0</v>
      </c>
      <c r="D14" s="94" t="s">
        <v>257</v>
      </c>
      <c r="E14" s="95"/>
      <c r="F14" s="50">
        <v>0</v>
      </c>
      <c r="G14" s="94" t="s">
        <v>266</v>
      </c>
      <c r="H14" s="95"/>
      <c r="I14" s="50">
        <v>0</v>
      </c>
      <c r="J14" s="23"/>
    </row>
    <row r="15" spans="1:10" ht="15" customHeight="1">
      <c r="A15" s="45"/>
      <c r="B15" s="48" t="s">
        <v>207</v>
      </c>
      <c r="C15" s="50">
        <f>SUM('Stavební VV'!S12:S76)</f>
        <v>0</v>
      </c>
      <c r="D15" s="94" t="s">
        <v>258</v>
      </c>
      <c r="E15" s="95"/>
      <c r="F15" s="50">
        <v>0</v>
      </c>
      <c r="G15" s="94" t="s">
        <v>267</v>
      </c>
      <c r="H15" s="95"/>
      <c r="I15" s="50">
        <v>0</v>
      </c>
      <c r="J15" s="23"/>
    </row>
    <row r="16" spans="1:10" ht="15" customHeight="1">
      <c r="A16" s="44" t="s">
        <v>244</v>
      </c>
      <c r="B16" s="48" t="s">
        <v>255</v>
      </c>
      <c r="C16" s="50">
        <f>SUM('Stavební VV'!T12:T76)</f>
        <v>0</v>
      </c>
      <c r="D16" s="94" t="s">
        <v>259</v>
      </c>
      <c r="E16" s="95"/>
      <c r="F16" s="50">
        <v>0</v>
      </c>
      <c r="G16" s="94" t="s">
        <v>268</v>
      </c>
      <c r="H16" s="95"/>
      <c r="I16" s="50">
        <v>0</v>
      </c>
      <c r="J16" s="23"/>
    </row>
    <row r="17" spans="1:10" ht="15" customHeight="1">
      <c r="A17" s="45"/>
      <c r="B17" s="48" t="s">
        <v>207</v>
      </c>
      <c r="C17" s="50">
        <f>SUM('Stavební VV'!U12:U76)</f>
        <v>0</v>
      </c>
      <c r="D17" s="94"/>
      <c r="E17" s="95"/>
      <c r="F17" s="51"/>
      <c r="G17" s="94" t="s">
        <v>269</v>
      </c>
      <c r="H17" s="95"/>
      <c r="I17" s="50">
        <v>0</v>
      </c>
      <c r="J17" s="23"/>
    </row>
    <row r="18" spans="1:10" ht="15" customHeight="1">
      <c r="A18" s="44" t="s">
        <v>245</v>
      </c>
      <c r="B18" s="48" t="s">
        <v>255</v>
      </c>
      <c r="C18" s="50">
        <f>SUM('Stavební VV'!V12:V76)</f>
        <v>0</v>
      </c>
      <c r="D18" s="94"/>
      <c r="E18" s="95"/>
      <c r="F18" s="51"/>
      <c r="G18" s="94" t="s">
        <v>270</v>
      </c>
      <c r="H18" s="95"/>
      <c r="I18" s="50">
        <v>0</v>
      </c>
      <c r="J18" s="23"/>
    </row>
    <row r="19" spans="1:10" ht="15" customHeight="1">
      <c r="A19" s="45"/>
      <c r="B19" s="48" t="s">
        <v>207</v>
      </c>
      <c r="C19" s="50">
        <f>SUM('Stavební VV'!W12:W76)</f>
        <v>0</v>
      </c>
      <c r="D19" s="94"/>
      <c r="E19" s="95"/>
      <c r="F19" s="51"/>
      <c r="G19" s="94" t="s">
        <v>271</v>
      </c>
      <c r="H19" s="95"/>
      <c r="I19" s="50">
        <v>0</v>
      </c>
      <c r="J19" s="23"/>
    </row>
    <row r="20" spans="1:10" ht="15" customHeight="1">
      <c r="A20" s="92" t="s">
        <v>246</v>
      </c>
      <c r="B20" s="93"/>
      <c r="C20" s="50">
        <f>SUM('Stavební VV'!X12:X76)</f>
        <v>0</v>
      </c>
      <c r="D20" s="94"/>
      <c r="E20" s="95"/>
      <c r="F20" s="51"/>
      <c r="G20" s="94"/>
      <c r="H20" s="95"/>
      <c r="I20" s="51"/>
      <c r="J20" s="23"/>
    </row>
    <row r="21" spans="1:10" ht="15" customHeight="1">
      <c r="A21" s="92" t="s">
        <v>247</v>
      </c>
      <c r="B21" s="93"/>
      <c r="C21" s="50">
        <f>SUM('Stavební VV'!P12:P76)</f>
        <v>0</v>
      </c>
      <c r="D21" s="94"/>
      <c r="E21" s="95"/>
      <c r="F21" s="51"/>
      <c r="G21" s="94"/>
      <c r="H21" s="95"/>
      <c r="I21" s="51"/>
      <c r="J21" s="23"/>
    </row>
    <row r="22" spans="1:10" ht="16.5" customHeight="1">
      <c r="A22" s="92" t="s">
        <v>248</v>
      </c>
      <c r="B22" s="93"/>
      <c r="C22" s="50">
        <f>SUM(C14:C21)</f>
        <v>0</v>
      </c>
      <c r="D22" s="92" t="s">
        <v>260</v>
      </c>
      <c r="E22" s="93"/>
      <c r="F22" s="50">
        <f>SUM(F14:F21)</f>
        <v>0</v>
      </c>
      <c r="G22" s="92" t="s">
        <v>272</v>
      </c>
      <c r="H22" s="93"/>
      <c r="I22" s="50">
        <f>SUM(I14:I21)</f>
        <v>0</v>
      </c>
      <c r="J22" s="23"/>
    </row>
    <row r="23" spans="1:9" ht="12.75">
      <c r="A23" s="46"/>
      <c r="B23" s="46"/>
      <c r="C23" s="46"/>
      <c r="D23" s="8"/>
      <c r="E23" s="8"/>
      <c r="F23" s="8"/>
      <c r="G23" s="8"/>
      <c r="H23" s="8"/>
      <c r="I23" s="8"/>
    </row>
    <row r="24" spans="1:9" ht="15" customHeight="1">
      <c r="A24" s="96" t="s">
        <v>249</v>
      </c>
      <c r="B24" s="97"/>
      <c r="C24" s="52">
        <f>SUM('Stavební VV'!Z12:Z76)</f>
        <v>0</v>
      </c>
      <c r="D24" s="49"/>
      <c r="E24" s="37"/>
      <c r="F24" s="37"/>
      <c r="G24" s="37"/>
      <c r="H24" s="37"/>
      <c r="I24" s="37"/>
    </row>
    <row r="25" spans="1:10" ht="15" customHeight="1">
      <c r="A25" s="96" t="s">
        <v>250</v>
      </c>
      <c r="B25" s="97"/>
      <c r="C25" s="52">
        <f>SUM('Stavební VV'!AA12:AA76)</f>
        <v>0</v>
      </c>
      <c r="D25" s="96" t="s">
        <v>261</v>
      </c>
      <c r="E25" s="97"/>
      <c r="F25" s="52">
        <f>ROUND(C25*(14/100),2)</f>
        <v>0</v>
      </c>
      <c r="G25" s="96" t="s">
        <v>273</v>
      </c>
      <c r="H25" s="97"/>
      <c r="I25" s="52">
        <f>SUM(C24:C26)</f>
        <v>0</v>
      </c>
      <c r="J25" s="23"/>
    </row>
    <row r="26" spans="1:10" ht="15" customHeight="1">
      <c r="A26" s="96" t="s">
        <v>251</v>
      </c>
      <c r="B26" s="97"/>
      <c r="C26" s="52">
        <f>SUM('Stavební VV'!AB12:AB76)+(F22+I22)</f>
        <v>0</v>
      </c>
      <c r="D26" s="96" t="s">
        <v>262</v>
      </c>
      <c r="E26" s="97"/>
      <c r="F26" s="52">
        <f>ROUND(C26*(20/100),2)</f>
        <v>0</v>
      </c>
      <c r="G26" s="96" t="s">
        <v>274</v>
      </c>
      <c r="H26" s="97"/>
      <c r="I26" s="52">
        <f>SUM(F25:F26)+I25</f>
        <v>0</v>
      </c>
      <c r="J26" s="23"/>
    </row>
    <row r="27" spans="1:9" ht="12.75">
      <c r="A27" s="47"/>
      <c r="B27" s="47"/>
      <c r="C27" s="47"/>
      <c r="D27" s="47"/>
      <c r="E27" s="47"/>
      <c r="F27" s="47"/>
      <c r="G27" s="47"/>
      <c r="H27" s="47"/>
      <c r="I27" s="47"/>
    </row>
    <row r="28" spans="1:10" ht="14.25" customHeight="1">
      <c r="A28" s="101" t="s">
        <v>252</v>
      </c>
      <c r="B28" s="102"/>
      <c r="C28" s="103"/>
      <c r="D28" s="101" t="s">
        <v>263</v>
      </c>
      <c r="E28" s="102"/>
      <c r="F28" s="103"/>
      <c r="G28" s="101" t="s">
        <v>275</v>
      </c>
      <c r="H28" s="102"/>
      <c r="I28" s="103"/>
      <c r="J28" s="24"/>
    </row>
    <row r="29" spans="1:10" ht="14.25" customHeight="1">
      <c r="A29" s="104"/>
      <c r="B29" s="105"/>
      <c r="C29" s="106"/>
      <c r="D29" s="104"/>
      <c r="E29" s="105"/>
      <c r="F29" s="106"/>
      <c r="G29" s="104"/>
      <c r="H29" s="105"/>
      <c r="I29" s="106"/>
      <c r="J29" s="24"/>
    </row>
    <row r="30" spans="1:10" ht="14.25" customHeight="1">
      <c r="A30" s="104"/>
      <c r="B30" s="105"/>
      <c r="C30" s="106"/>
      <c r="D30" s="104"/>
      <c r="E30" s="105"/>
      <c r="F30" s="106"/>
      <c r="G30" s="104"/>
      <c r="H30" s="105"/>
      <c r="I30" s="106"/>
      <c r="J30" s="24"/>
    </row>
    <row r="31" spans="1:10" ht="14.25" customHeight="1">
      <c r="A31" s="104"/>
      <c r="B31" s="105"/>
      <c r="C31" s="106"/>
      <c r="D31" s="104"/>
      <c r="E31" s="105"/>
      <c r="F31" s="106"/>
      <c r="G31" s="104"/>
      <c r="H31" s="105"/>
      <c r="I31" s="106"/>
      <c r="J31" s="24"/>
    </row>
    <row r="32" spans="1:10" ht="14.25" customHeight="1">
      <c r="A32" s="98" t="s">
        <v>253</v>
      </c>
      <c r="B32" s="99"/>
      <c r="C32" s="100"/>
      <c r="D32" s="98" t="s">
        <v>253</v>
      </c>
      <c r="E32" s="99"/>
      <c r="F32" s="100"/>
      <c r="G32" s="98" t="s">
        <v>253</v>
      </c>
      <c r="H32" s="99"/>
      <c r="I32" s="100"/>
      <c r="J32" s="24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Barták</cp:lastModifiedBy>
  <dcterms:created xsi:type="dcterms:W3CDTF">2013-09-03T13:25:02Z</dcterms:created>
  <dcterms:modified xsi:type="dcterms:W3CDTF">2013-09-03T13:41:44Z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986866820</vt:i4>
  </property>
  <property fmtid="{D5CDD505-2E9C-101B-9397-08002B2CF9AE}" pid="4" name="_EmailSubje">
    <vt:lpwstr>ZTI SO01 VV</vt:lpwstr>
  </property>
  <property fmtid="{D5CDD505-2E9C-101B-9397-08002B2CF9AE}" pid="5" name="_AuthorEma">
    <vt:lpwstr>p.bartak@tiscali.cz</vt:lpwstr>
  </property>
  <property fmtid="{D5CDD505-2E9C-101B-9397-08002B2CF9AE}" pid="6" name="_AuthorEmailDisplayNa">
    <vt:lpwstr>Petr Barták, ing</vt:lpwstr>
  </property>
</Properties>
</file>